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hidePivotFieldList="1" defaultThemeVersion="124226"/>
  <mc:AlternateContent xmlns:mc="http://schemas.openxmlformats.org/markup-compatibility/2006">
    <mc:Choice Requires="x15">
      <x15ac:absPath xmlns:x15ac="http://schemas.microsoft.com/office/spreadsheetml/2010/11/ac" url="https://hillingdon-my.sharepoint.com/personal/sdenbeigh_hillingdon_gov_uk1/Documents/Desktop/Files for Corp web/School Budgets/"/>
    </mc:Choice>
  </mc:AlternateContent>
  <xr:revisionPtr revIDLastSave="2" documentId="8_{83333975-98DF-41FE-B4FE-AF4EAF2382A7}" xr6:coauthVersionLast="47" xr6:coauthVersionMax="47" xr10:uidLastSave="{2AB99B19-3605-45BA-A534-BA34B4995329}"/>
  <bookViews>
    <workbookView xWindow="36840" yWindow="360" windowWidth="21460" windowHeight="12610" tabRatio="598" firstSheet="1" activeTab="1" xr2:uid="{00000000-000D-0000-FFFF-FFFF00000000}"/>
  </bookViews>
  <sheets>
    <sheet name="Notes" sheetId="8" r:id="rId1"/>
    <sheet name="Indv Schools" sheetId="2" r:id="rId2"/>
    <sheet name="All Schools" sheetId="1" r:id="rId3"/>
    <sheet name="EYSFF" sheetId="18" r:id="rId4"/>
    <sheet name="EYSFF Calc" sheetId="19" state="hidden" r:id="rId5"/>
    <sheet name="McMillan " sheetId="9" state="hidden" r:id="rId6"/>
    <sheet name="EYSFF (Universal)" sheetId="11" state="hidden" r:id="rId7"/>
    <sheet name="EYSFF (Additional)" sheetId="17" state="hidden" r:id="rId8"/>
    <sheet name="EYSFF Calculator" sheetId="16" state="hidden" r:id="rId9"/>
    <sheet name="Sheet1" sheetId="14" state="hidden" r:id="rId10"/>
  </sheets>
  <definedNames>
    <definedName name="_xlnm._FilterDatabase" localSheetId="2" hidden="1">'All Schools'!$A$4:$CL$96</definedName>
    <definedName name="_xlnm._FilterDatabase" localSheetId="7" hidden="1">'EYSFF (Additional)'!$A$8:$L$8</definedName>
    <definedName name="_xlnm._FilterDatabase" localSheetId="1" hidden="1">'Indv Schools'!$M$5:$M$72</definedName>
    <definedName name="Ab">#REF!</definedName>
    <definedName name="All_distance_threshold">#REF!</definedName>
    <definedName name="All_PupilNo_threshold">#REF!</definedName>
    <definedName name="an">#REF!</definedName>
    <definedName name="Anchor_Factors">#REF!</definedName>
    <definedName name="Anchor_NDShare">#REF!</definedName>
    <definedName name="AWPU_KS3_Rate">#REF!</definedName>
    <definedName name="AWPU_KS4_Rate">#REF!</definedName>
    <definedName name="AWPU_Pri_Rate">#REF!</definedName>
    <definedName name="Capping_Scaling_YesNo">#REF!</definedName>
    <definedName name="Ceiling">#REF!</definedName>
    <definedName name="Col_Ref_Factors">#REF!</definedName>
    <definedName name="Col_Ref_NDShare">#REF!</definedName>
    <definedName name="EAL_Pri">#REF!</definedName>
    <definedName name="EAL_Pri_Option">#REF!</definedName>
    <definedName name="EAL_Sec">#REF!</definedName>
    <definedName name="EAL_Sec_Option">#REF!</definedName>
    <definedName name="Ever6_pri_rate">#REF!</definedName>
    <definedName name="Ever6_sec_rate">#REF!</definedName>
    <definedName name="FSM_Pri_Rate">#REF!</definedName>
    <definedName name="FSM_Sec_Rate">#REF!</definedName>
    <definedName name="IDACI_B1_Pri">'All Schools'!$F$18</definedName>
    <definedName name="IDACI_B1_Sec">#REF!</definedName>
    <definedName name="IDACI_B2_Pri">'All Schools'!$F$19</definedName>
    <definedName name="IDACI_B2_Sec">#REF!</definedName>
    <definedName name="IDACI_B3_Pri">'All Schools'!$F$20</definedName>
    <definedName name="IDACI_B3_Sec">#REF!</definedName>
    <definedName name="IDACI_B4_Pri">'All Schools'!$F$21</definedName>
    <definedName name="IDACI_B4_Sec">#REF!</definedName>
    <definedName name="IDACI_B5_Pri">'All Schools'!$F$22</definedName>
    <definedName name="IDACI_B5_Sec">#REF!</definedName>
    <definedName name="IDACI_B6_Pri">#REF!</definedName>
    <definedName name="IDACI_B6_Sec">#REF!</definedName>
    <definedName name="ISB">#REF!</definedName>
    <definedName name="LAC_Rate">#REF!</definedName>
    <definedName name="LCHI_Pri">#REF!</definedName>
    <definedName name="LCHI_Sec">#REF!</definedName>
    <definedName name="MFG_Rate">#REF!</definedName>
    <definedName name="Mid_distance_threshold">#REF!</definedName>
    <definedName name="Mid_PupilNo_threshold">#REF!</definedName>
    <definedName name="min_pupil_rate_KS3">#REF!</definedName>
    <definedName name="min_pupil_rate_KS4">#REF!</definedName>
    <definedName name="min_pupil_rate_pri">#REF!</definedName>
    <definedName name="Mobility_Pri">#REF!</definedName>
    <definedName name="Mobility_Sec">#REF!</definedName>
    <definedName name="Notional_SEN_AWPU_KS3">#REF!</definedName>
    <definedName name="Notional_SEN_AWPU_KS4">#REF!</definedName>
    <definedName name="Notional_SEN_AWPU_Pri">#REF!</definedName>
    <definedName name="Notional_SEN_EAL_Pri">#REF!</definedName>
    <definedName name="Notional_SEN_EAL_Sec">#REF!</definedName>
    <definedName name="Notional_SEN_Ever6_Pri">#REF!</definedName>
    <definedName name="Notional_SEN_Ever6_Sec">#REF!</definedName>
    <definedName name="Notional_SEN_ExCir2">#REF!</definedName>
    <definedName name="Notional_SEN_ExCir3">#REF!</definedName>
    <definedName name="Notional_SEN_ExCir4">#REF!</definedName>
    <definedName name="Notional_SEN_ExCir5">#REF!</definedName>
    <definedName name="Notional_SEN_ExCir6">#REF!</definedName>
    <definedName name="Notional_SEN_ExCir7">#REF!</definedName>
    <definedName name="Notional_SEN_FSM_Pri">#REF!</definedName>
    <definedName name="Notional_SEN_FSM_Sec">#REF!</definedName>
    <definedName name="Notional_SEN_IDACI_B1_Pri">#REF!</definedName>
    <definedName name="Notional_SEN_IDACI_B1_Sec">#REF!</definedName>
    <definedName name="Notional_SEN_IDACI_B2_Pri">#REF!</definedName>
    <definedName name="Notional_SEN_IDACI_B2_Sec">#REF!</definedName>
    <definedName name="Notional_SEN_IDACI_B3_Pri">#REF!</definedName>
    <definedName name="Notional_SEN_IDACI_B3_Sec">#REF!</definedName>
    <definedName name="Notional_SEN_IDACI_B4_Pri">#REF!</definedName>
    <definedName name="Notional_SEN_IDACI_B4_Sec">#REF!</definedName>
    <definedName name="Notional_SEN_IDACI_B5_Pri">#REF!</definedName>
    <definedName name="Notional_SEN_IDACI_B5_Sec">#REF!</definedName>
    <definedName name="Notional_SEN_IDACI_B6_Pri">#REF!</definedName>
    <definedName name="Notional_SEN_IDACI_B6_Sec">#REF!</definedName>
    <definedName name="Notional_SEN_LAC">#REF!</definedName>
    <definedName name="Notional_SEN_LCHI_Pri">#REF!</definedName>
    <definedName name="Notional_SEN_LCHI_Sec">#REF!</definedName>
    <definedName name="Notional_SEN_Lump_sum_Pri">#REF!</definedName>
    <definedName name="Notional_SEN_Lump_sum_Sec">#REF!</definedName>
    <definedName name="Notional_SEN_MFG">#REF!</definedName>
    <definedName name="Notional_SEN_Mobility_Pri">#REF!</definedName>
    <definedName name="Notional_SEN_Mobility_Sec">#REF!</definedName>
    <definedName name="Notional_SEN_MPPF">#REF!</definedName>
    <definedName name="Notional_SEN_PFI">#REF!</definedName>
    <definedName name="Notional_SEN_Rates">#REF!</definedName>
    <definedName name="Notional_SEN_Sparsity_Pri">#REF!</definedName>
    <definedName name="Notional_SEN_Sparsity_Sec">#REF!</definedName>
    <definedName name="Notional_SEN_Split_sites">#REF!</definedName>
    <definedName name="Pri_distance_threshold">#REF!</definedName>
    <definedName name="Pri_PupilNo_threshold">#REF!</definedName>
    <definedName name="Primary_Lump_sum">#REF!</definedName>
    <definedName name="_xlnm.Print_Area" localSheetId="2">'All Schools'!$A$1:$CK$98</definedName>
    <definedName name="_xlnm.Print_Area" localSheetId="1">'Indv Schools'!$A$1:$G$79</definedName>
    <definedName name="_xlnm.Print_Area" localSheetId="0">Notes!$B$1:$C$33</definedName>
    <definedName name="_xlnm.Print_Titles" localSheetId="2">'All Schools'!$B:$C</definedName>
    <definedName name="_xlnm.Print_Titles" localSheetId="7">'EYSFF (Additional)'!#REF!</definedName>
    <definedName name="_xlnm.Print_Titles" localSheetId="6">'EYSFF (Universal)'!#REF!</definedName>
    <definedName name="Reception_Uplift_YesNo">#REF!</definedName>
    <definedName name="Scaling_Factor">#REF!</definedName>
    <definedName name="School_URN_Factors">#REF!</definedName>
    <definedName name="School_URN_NDShare">#REF!</definedName>
    <definedName name="Sec_distance_threshold">#REF!</definedName>
    <definedName name="Sec_PupilNo_threshold">#REF!</definedName>
    <definedName name="Secondary_Lump_Sum">#REF!</definedName>
    <definedName name="Sparsity_All_lump_sum">#REF!</definedName>
    <definedName name="Sparsity_Mid_lump_sum">#REF!</definedName>
    <definedName name="Sparsity_Pri_lump_sum">#REF!</definedName>
    <definedName name="Sparsity_Sec_lump_sum">#REF!</definedName>
    <definedName name="ste">#REF!</definedName>
    <definedName name="Tapered_all_lump_sum">#REF!</definedName>
    <definedName name="Tapered_mid_lump_sum">#REF!</definedName>
    <definedName name="Tapered_primary_lump_sum">#REF!</definedName>
    <definedName name="Tapered_secondary_lump_sum">#REF!</definedName>
    <definedName name="ty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8" l="1"/>
  <c r="F6" i="18"/>
  <c r="F7" i="18"/>
  <c r="F8" i="18"/>
  <c r="F9" i="18"/>
  <c r="F10"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46" i="18"/>
  <c r="F47" i="18"/>
  <c r="F48" i="18"/>
  <c r="F49" i="18"/>
  <c r="F50" i="18"/>
  <c r="F51" i="18"/>
  <c r="F52" i="18"/>
  <c r="F53" i="18"/>
  <c r="F54" i="18"/>
  <c r="F55" i="18"/>
  <c r="F56" i="18"/>
  <c r="F57" i="18"/>
  <c r="F58" i="18"/>
  <c r="F59" i="18"/>
  <c r="F60" i="18"/>
  <c r="F61" i="18"/>
  <c r="J5" i="18"/>
  <c r="J6" i="18"/>
  <c r="J7" i="18"/>
  <c r="J8" i="18"/>
  <c r="J9" i="18"/>
  <c r="J10" i="18"/>
  <c r="J11" i="18"/>
  <c r="J12" i="18"/>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4" i="18"/>
  <c r="E33" i="19" l="1"/>
  <c r="D33" i="19"/>
  <c r="C33" i="19"/>
  <c r="F33" i="19" s="1"/>
  <c r="E15" i="19"/>
  <c r="D15" i="19"/>
  <c r="C15" i="19"/>
  <c r="F15" i="19" s="1"/>
  <c r="B4" i="19"/>
  <c r="E26" i="19" s="1"/>
  <c r="C8" i="19" l="1"/>
  <c r="D10" i="19"/>
  <c r="D28" i="19" s="1"/>
  <c r="E10" i="19"/>
  <c r="E28" i="19" s="1"/>
  <c r="D8" i="19"/>
  <c r="D9" i="19" s="1"/>
  <c r="C26" i="19"/>
  <c r="E8" i="19"/>
  <c r="D26" i="19"/>
  <c r="C10" i="19"/>
  <c r="C28" i="19" s="1"/>
  <c r="C12" i="19" l="1"/>
  <c r="E34" i="19"/>
  <c r="E36" i="19" s="1"/>
  <c r="C34" i="19"/>
  <c r="C36" i="19" s="1"/>
  <c r="D34" i="19"/>
  <c r="D36" i="19" s="1"/>
  <c r="D30" i="19"/>
  <c r="D27" i="19"/>
  <c r="C9" i="19"/>
  <c r="F8" i="19"/>
  <c r="E30" i="19"/>
  <c r="E27" i="19"/>
  <c r="C27" i="19"/>
  <c r="C30" i="19"/>
  <c r="F26" i="19"/>
  <c r="E9" i="19"/>
  <c r="E12" i="19"/>
  <c r="D12" i="19"/>
  <c r="D16" i="19"/>
  <c r="D18" i="19" s="1"/>
  <c r="E16" i="19"/>
  <c r="E18" i="19" s="1"/>
  <c r="C16" i="19"/>
  <c r="C18" i="19" s="1"/>
  <c r="F12" i="19" l="1"/>
  <c r="F30" i="19"/>
  <c r="E20" i="19"/>
  <c r="C20" i="19"/>
  <c r="F18" i="19"/>
  <c r="D20" i="19"/>
  <c r="C38" i="19"/>
  <c r="F36" i="19"/>
  <c r="D38" i="19"/>
  <c r="E38" i="19"/>
  <c r="F38" i="19" l="1"/>
  <c r="F20" i="19"/>
  <c r="V5" i="18" l="1"/>
  <c r="V6" i="18"/>
  <c r="W6" i="18" s="1"/>
  <c r="BV8" i="1" s="1"/>
  <c r="V7" i="18"/>
  <c r="X7" i="18" s="1"/>
  <c r="BW9" i="1" s="1"/>
  <c r="V8" i="18"/>
  <c r="V9" i="18"/>
  <c r="X9" i="18" s="1"/>
  <c r="BW7" i="1" s="1"/>
  <c r="V10" i="18"/>
  <c r="W10" i="18" s="1"/>
  <c r="BV11" i="1" s="1"/>
  <c r="V11" i="18"/>
  <c r="V12" i="18"/>
  <c r="W12" i="18" s="1"/>
  <c r="BV13" i="1" s="1"/>
  <c r="V13" i="18"/>
  <c r="V14" i="18"/>
  <c r="W14" i="18" s="1"/>
  <c r="BV16" i="1" s="1"/>
  <c r="V15" i="18"/>
  <c r="X15" i="18" s="1"/>
  <c r="BW17" i="1" s="1"/>
  <c r="V16" i="18"/>
  <c r="V17" i="18"/>
  <c r="X17" i="18" s="1"/>
  <c r="BW19" i="1" s="1"/>
  <c r="V18" i="18"/>
  <c r="V19" i="18"/>
  <c r="V20" i="18"/>
  <c r="X20" i="18" s="1"/>
  <c r="BW23" i="1" s="1"/>
  <c r="V21" i="18"/>
  <c r="V22" i="18"/>
  <c r="W22" i="18" s="1"/>
  <c r="BV75" i="1" s="1"/>
  <c r="V23" i="18"/>
  <c r="X23" i="18" s="1"/>
  <c r="BW26" i="1" s="1"/>
  <c r="V24" i="18"/>
  <c r="V25" i="18"/>
  <c r="V26" i="18"/>
  <c r="V27" i="18"/>
  <c r="V28" i="18"/>
  <c r="X28" i="18" s="1"/>
  <c r="BW32" i="1" s="1"/>
  <c r="V29" i="18"/>
  <c r="V30" i="18"/>
  <c r="W30" i="18" s="1"/>
  <c r="BV34" i="1" s="1"/>
  <c r="V31" i="18"/>
  <c r="X31" i="18" s="1"/>
  <c r="BW35" i="1" s="1"/>
  <c r="V32" i="18"/>
  <c r="V33" i="18"/>
  <c r="W33" i="18" s="1"/>
  <c r="BV38" i="1" s="1"/>
  <c r="V34" i="18"/>
  <c r="V35" i="18"/>
  <c r="V36" i="18"/>
  <c r="W36" i="18" s="1"/>
  <c r="BV42" i="1" s="1"/>
  <c r="V37" i="18"/>
  <c r="V38" i="18"/>
  <c r="W38" i="18" s="1"/>
  <c r="BV44" i="1" s="1"/>
  <c r="V39" i="18"/>
  <c r="X39" i="18" s="1"/>
  <c r="BW47" i="1" s="1"/>
  <c r="V40" i="18"/>
  <c r="V41" i="18"/>
  <c r="W41" i="18" s="1"/>
  <c r="BV51" i="1" s="1"/>
  <c r="V42" i="18"/>
  <c r="V43" i="18"/>
  <c r="V44" i="18"/>
  <c r="W44" i="18" s="1"/>
  <c r="BV54" i="1" s="1"/>
  <c r="V45" i="18"/>
  <c r="V46" i="18"/>
  <c r="W46" i="18" s="1"/>
  <c r="BV56" i="1" s="1"/>
  <c r="V47" i="18"/>
  <c r="X47" i="18" s="1"/>
  <c r="BW57" i="1" s="1"/>
  <c r="V48" i="18"/>
  <c r="V49" i="18"/>
  <c r="W49" i="18" s="1"/>
  <c r="BV63" i="1" s="1"/>
  <c r="V50" i="18"/>
  <c r="V51" i="18"/>
  <c r="V52" i="18"/>
  <c r="W52" i="18" s="1"/>
  <c r="BV61" i="1" s="1"/>
  <c r="V53" i="18"/>
  <c r="V54" i="18"/>
  <c r="W54" i="18" s="1"/>
  <c r="BV64" i="1" s="1"/>
  <c r="V55" i="18"/>
  <c r="X55" i="18" s="1"/>
  <c r="BW65" i="1" s="1"/>
  <c r="V56" i="18"/>
  <c r="V57" i="18"/>
  <c r="V58" i="18"/>
  <c r="V59" i="18"/>
  <c r="V60" i="18"/>
  <c r="W60" i="18" s="1"/>
  <c r="BV73" i="1" s="1"/>
  <c r="V61" i="18"/>
  <c r="V4" i="18"/>
  <c r="W4" i="18" s="1"/>
  <c r="BV5" i="1" s="1"/>
  <c r="W5" i="18"/>
  <c r="BV6" i="1" s="1"/>
  <c r="X5" i="18"/>
  <c r="BW6" i="1" s="1"/>
  <c r="W7" i="18"/>
  <c r="BV9" i="1" s="1"/>
  <c r="W8" i="18"/>
  <c r="BV10" i="1" s="1"/>
  <c r="X8" i="18"/>
  <c r="BW10" i="1" s="1"/>
  <c r="W9" i="18"/>
  <c r="BV7" i="1" s="1"/>
  <c r="X10" i="18"/>
  <c r="BW11" i="1" s="1"/>
  <c r="W11" i="18"/>
  <c r="BV12" i="1" s="1"/>
  <c r="X11" i="18"/>
  <c r="BW12" i="1" s="1"/>
  <c r="W13" i="18"/>
  <c r="BV14" i="1" s="1"/>
  <c r="X13" i="18"/>
  <c r="BW14" i="1" s="1"/>
  <c r="W15" i="18"/>
  <c r="BV17" i="1" s="1"/>
  <c r="W16" i="18"/>
  <c r="BV18" i="1" s="1"/>
  <c r="X16" i="18"/>
  <c r="BW18" i="1" s="1"/>
  <c r="W17" i="18"/>
  <c r="BV19" i="1" s="1"/>
  <c r="W18" i="18"/>
  <c r="BV20" i="1" s="1"/>
  <c r="X18" i="18"/>
  <c r="BW20" i="1" s="1"/>
  <c r="W19" i="18"/>
  <c r="BV22" i="1" s="1"/>
  <c r="X19" i="18"/>
  <c r="BW22" i="1" s="1"/>
  <c r="W21" i="18"/>
  <c r="BV24" i="1" s="1"/>
  <c r="X21" i="18"/>
  <c r="BW24" i="1" s="1"/>
  <c r="W24" i="18"/>
  <c r="BV28" i="1" s="1"/>
  <c r="X24" i="18"/>
  <c r="BW28" i="1" s="1"/>
  <c r="W25" i="18"/>
  <c r="BV29" i="1" s="1"/>
  <c r="X25" i="18"/>
  <c r="BW29" i="1" s="1"/>
  <c r="W26" i="18"/>
  <c r="BV30" i="1" s="1"/>
  <c r="X26" i="18"/>
  <c r="BW30" i="1" s="1"/>
  <c r="W27" i="18"/>
  <c r="BV31" i="1" s="1"/>
  <c r="X27" i="18"/>
  <c r="BW31" i="1" s="1"/>
  <c r="W29" i="18"/>
  <c r="BV33" i="1" s="1"/>
  <c r="X29" i="18"/>
  <c r="BW33" i="1" s="1"/>
  <c r="W32" i="18"/>
  <c r="BV36" i="1" s="1"/>
  <c r="X32" i="18"/>
  <c r="BW36" i="1" s="1"/>
  <c r="X33" i="18"/>
  <c r="BW38" i="1" s="1"/>
  <c r="W34" i="18"/>
  <c r="BV39" i="1" s="1"/>
  <c r="X34" i="18"/>
  <c r="BW39" i="1" s="1"/>
  <c r="W35" i="18"/>
  <c r="BV40" i="1" s="1"/>
  <c r="X35" i="18"/>
  <c r="BW40" i="1" s="1"/>
  <c r="W37" i="18"/>
  <c r="BV43" i="1" s="1"/>
  <c r="X37" i="18"/>
  <c r="BW43" i="1" s="1"/>
  <c r="W40" i="18"/>
  <c r="BV49" i="1" s="1"/>
  <c r="X40" i="18"/>
  <c r="BW49" i="1" s="1"/>
  <c r="X41" i="18"/>
  <c r="BW51" i="1" s="1"/>
  <c r="W42" i="18"/>
  <c r="BV52" i="1" s="1"/>
  <c r="X42" i="18"/>
  <c r="BW52" i="1" s="1"/>
  <c r="W43" i="18"/>
  <c r="BV53" i="1" s="1"/>
  <c r="X43" i="18"/>
  <c r="BW53" i="1" s="1"/>
  <c r="W45" i="18"/>
  <c r="BV55" i="1" s="1"/>
  <c r="X45" i="18"/>
  <c r="BW55" i="1" s="1"/>
  <c r="W48" i="18"/>
  <c r="BV58" i="1" s="1"/>
  <c r="X48" i="18"/>
  <c r="BW58" i="1" s="1"/>
  <c r="X49" i="18"/>
  <c r="BW63" i="1" s="1"/>
  <c r="W50" i="18"/>
  <c r="BV59" i="1" s="1"/>
  <c r="X50" i="18"/>
  <c r="BW59" i="1" s="1"/>
  <c r="W51" i="18"/>
  <c r="BV60" i="1" s="1"/>
  <c r="X51" i="18"/>
  <c r="BW60" i="1" s="1"/>
  <c r="X52" i="18"/>
  <c r="BW61" i="1" s="1"/>
  <c r="W53" i="18"/>
  <c r="BV62" i="1" s="1"/>
  <c r="X53" i="18"/>
  <c r="BW62" i="1" s="1"/>
  <c r="W55" i="18"/>
  <c r="BV65" i="1" s="1"/>
  <c r="W56" i="18"/>
  <c r="BV66" i="1" s="1"/>
  <c r="X56" i="18"/>
  <c r="BW66" i="1" s="1"/>
  <c r="W57" i="18"/>
  <c r="BV67" i="1" s="1"/>
  <c r="X57" i="18"/>
  <c r="BW67" i="1" s="1"/>
  <c r="W58" i="18"/>
  <c r="BV69" i="1" s="1"/>
  <c r="X58" i="18"/>
  <c r="BW69" i="1" s="1"/>
  <c r="W59" i="18"/>
  <c r="BV71" i="1" s="1"/>
  <c r="X59" i="18"/>
  <c r="BW71" i="1" s="1"/>
  <c r="W61" i="18"/>
  <c r="BV72" i="1" s="1"/>
  <c r="X61" i="18"/>
  <c r="BW72" i="1" s="1"/>
  <c r="W20" i="18" l="1"/>
  <c r="BV23" i="1" s="1"/>
  <c r="X44" i="18"/>
  <c r="BW54" i="1" s="1"/>
  <c r="X60" i="18"/>
  <c r="BW73" i="1" s="1"/>
  <c r="W28" i="18"/>
  <c r="BV32" i="1" s="1"/>
  <c r="W39" i="18"/>
  <c r="BV47" i="1" s="1"/>
  <c r="W23" i="18"/>
  <c r="BV26" i="1" s="1"/>
  <c r="X12" i="18"/>
  <c r="BW13" i="1" s="1"/>
  <c r="X4" i="18"/>
  <c r="BW5" i="1" s="1"/>
  <c r="W47" i="18"/>
  <c r="BV57" i="1" s="1"/>
  <c r="X36" i="18"/>
  <c r="BW42" i="1" s="1"/>
  <c r="W31" i="18"/>
  <c r="BV35" i="1" s="1"/>
  <c r="X54" i="18"/>
  <c r="BW64" i="1" s="1"/>
  <c r="X46" i="18"/>
  <c r="BW56" i="1" s="1"/>
  <c r="X38" i="18"/>
  <c r="BW44" i="1" s="1"/>
  <c r="X30" i="18"/>
  <c r="BW34" i="1" s="1"/>
  <c r="X22" i="18"/>
  <c r="BW75" i="1" s="1"/>
  <c r="X14" i="18"/>
  <c r="BW16" i="1" s="1"/>
  <c r="X6" i="18"/>
  <c r="BW8" i="1" s="1"/>
  <c r="Y4" i="18" l="1"/>
  <c r="C17" i="2" l="1"/>
  <c r="CJ98" i="1" l="1"/>
  <c r="CI98" i="1"/>
  <c r="CH98" i="1"/>
  <c r="CF98" i="1"/>
  <c r="CE98" i="1"/>
  <c r="CD98" i="1"/>
  <c r="CC98" i="1"/>
  <c r="BZ98" i="1"/>
  <c r="BX98" i="1"/>
  <c r="BY98" i="1"/>
  <c r="Q24" i="11"/>
  <c r="H24" i="11"/>
  <c r="S24" i="11" l="1"/>
  <c r="O24" i="11"/>
  <c r="J24" i="11" l="1"/>
  <c r="F32" i="9"/>
  <c r="F31" i="9"/>
  <c r="F27" i="9"/>
  <c r="K24" i="11" l="1"/>
  <c r="U24" i="11"/>
  <c r="V24" i="11" s="1"/>
  <c r="W65" i="11" l="1"/>
  <c r="Q29" i="11"/>
  <c r="Q30" i="11"/>
  <c r="Q31" i="11"/>
  <c r="Q32" i="11"/>
  <c r="Q33" i="11"/>
  <c r="Q34" i="11"/>
  <c r="Q35" i="11"/>
  <c r="Q36" i="11"/>
  <c r="Q37" i="11"/>
  <c r="Q38" i="11"/>
  <c r="Q39" i="11"/>
  <c r="Q40" i="11"/>
  <c r="Q41" i="11"/>
  <c r="Q42" i="11"/>
  <c r="Q43" i="11"/>
  <c r="Q44" i="11"/>
  <c r="Q45" i="11"/>
  <c r="Q46" i="11"/>
  <c r="Q47" i="11"/>
  <c r="Q48" i="11"/>
  <c r="Q49" i="11"/>
  <c r="Q50" i="11"/>
  <c r="Q51" i="11"/>
  <c r="Q52" i="11"/>
  <c r="Q53" i="11"/>
  <c r="Q54" i="11"/>
  <c r="Q55" i="11"/>
  <c r="Q56" i="11"/>
  <c r="Q57" i="11"/>
  <c r="Q58" i="11"/>
  <c r="Q59" i="11"/>
  <c r="Q60" i="11"/>
  <c r="Q61" i="11"/>
  <c r="Q62" i="11"/>
  <c r="Q63" i="11"/>
  <c r="Q7" i="11"/>
  <c r="Q8" i="11"/>
  <c r="Q9" i="11"/>
  <c r="Q10" i="11"/>
  <c r="Q11" i="11"/>
  <c r="Q12" i="11"/>
  <c r="Q13" i="11"/>
  <c r="Q14" i="11"/>
  <c r="Q15" i="11"/>
  <c r="Q16" i="11"/>
  <c r="Q17" i="11"/>
  <c r="Q18" i="11"/>
  <c r="Q19" i="11"/>
  <c r="Q20" i="11"/>
  <c r="Q21" i="11"/>
  <c r="Q22" i="11"/>
  <c r="Q23" i="11"/>
  <c r="Q25" i="11"/>
  <c r="Q26" i="11"/>
  <c r="Q27" i="11"/>
  <c r="Q28" i="11"/>
  <c r="Q6" i="11"/>
  <c r="U6" i="11" s="1"/>
  <c r="H10" i="17"/>
  <c r="H11" i="17"/>
  <c r="H12" i="17"/>
  <c r="H13" i="17"/>
  <c r="H14" i="17"/>
  <c r="H15" i="17"/>
  <c r="H16" i="17"/>
  <c r="H17" i="17"/>
  <c r="G67" i="17"/>
  <c r="H18" i="17"/>
  <c r="H19" i="17"/>
  <c r="H20" i="17"/>
  <c r="H21" i="17"/>
  <c r="H22" i="17"/>
  <c r="H23" i="17"/>
  <c r="H24" i="17"/>
  <c r="H25" i="17"/>
  <c r="H26" i="17"/>
  <c r="H27" i="17"/>
  <c r="H28" i="17"/>
  <c r="H29" i="17"/>
  <c r="H30" i="17"/>
  <c r="H31" i="17"/>
  <c r="H32" i="17"/>
  <c r="H33" i="17"/>
  <c r="H34" i="17"/>
  <c r="H35" i="17"/>
  <c r="H36" i="17"/>
  <c r="H37" i="17"/>
  <c r="H38"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F67" i="17"/>
  <c r="H9" i="17"/>
  <c r="J8" i="11"/>
  <c r="U8" i="11" s="1"/>
  <c r="J11" i="17" s="1"/>
  <c r="J9" i="11"/>
  <c r="J10" i="11"/>
  <c r="J11" i="11"/>
  <c r="J12" i="11"/>
  <c r="J13" i="11"/>
  <c r="U13" i="11" s="1"/>
  <c r="J16" i="17" s="1"/>
  <c r="J14" i="11"/>
  <c r="U14" i="11" s="1"/>
  <c r="J17" i="17" s="1"/>
  <c r="J15" i="11"/>
  <c r="J16" i="11"/>
  <c r="U16" i="11" s="1"/>
  <c r="J19" i="17" s="1"/>
  <c r="J17" i="11"/>
  <c r="U17" i="11" s="1"/>
  <c r="J20" i="17" s="1"/>
  <c r="J18" i="11"/>
  <c r="J19" i="11"/>
  <c r="J20" i="11"/>
  <c r="J21" i="11"/>
  <c r="U21" i="11" s="1"/>
  <c r="J24" i="17" s="1"/>
  <c r="J22" i="11"/>
  <c r="U22" i="11" s="1"/>
  <c r="J25" i="17" s="1"/>
  <c r="J23" i="11"/>
  <c r="J25" i="11"/>
  <c r="U25" i="11" s="1"/>
  <c r="J27" i="17" s="1"/>
  <c r="J26" i="11"/>
  <c r="U26" i="11" s="1"/>
  <c r="J28" i="17" s="1"/>
  <c r="J27" i="11"/>
  <c r="J28" i="11"/>
  <c r="U28" i="11" s="1"/>
  <c r="J30" i="17" s="1"/>
  <c r="J29" i="11"/>
  <c r="U29" i="11" s="1"/>
  <c r="J31" i="17" s="1"/>
  <c r="J30" i="11"/>
  <c r="U30" i="11" s="1"/>
  <c r="J32" i="17" s="1"/>
  <c r="J31" i="11"/>
  <c r="U31" i="11" s="1"/>
  <c r="J33" i="17" s="1"/>
  <c r="J32" i="11"/>
  <c r="J33" i="11"/>
  <c r="U33" i="11" s="1"/>
  <c r="J35" i="17" s="1"/>
  <c r="J34" i="11"/>
  <c r="U34" i="11" s="1"/>
  <c r="J36" i="17" s="1"/>
  <c r="J35" i="11"/>
  <c r="J36" i="11"/>
  <c r="U36" i="11" s="1"/>
  <c r="J38" i="17" s="1"/>
  <c r="J37" i="11"/>
  <c r="J38" i="11"/>
  <c r="U38" i="11" s="1"/>
  <c r="J40" i="17" s="1"/>
  <c r="J39" i="11"/>
  <c r="U39" i="11" s="1"/>
  <c r="J41" i="17" s="1"/>
  <c r="J40" i="11"/>
  <c r="U40" i="11" s="1"/>
  <c r="J42" i="17" s="1"/>
  <c r="J41" i="11"/>
  <c r="U41" i="11" s="1"/>
  <c r="J43" i="17" s="1"/>
  <c r="J42" i="11"/>
  <c r="U42" i="11" s="1"/>
  <c r="J44" i="17" s="1"/>
  <c r="J43" i="11"/>
  <c r="J44" i="11"/>
  <c r="U44" i="11" s="1"/>
  <c r="J46" i="17" s="1"/>
  <c r="J45" i="11"/>
  <c r="U45" i="11" s="1"/>
  <c r="J47" i="17" s="1"/>
  <c r="J46" i="11"/>
  <c r="U46" i="11" s="1"/>
  <c r="J48" i="17" s="1"/>
  <c r="J47" i="11"/>
  <c r="U47" i="11" s="1"/>
  <c r="J49" i="17" s="1"/>
  <c r="J48" i="11"/>
  <c r="U48" i="11" s="1"/>
  <c r="J50" i="17" s="1"/>
  <c r="J49" i="11"/>
  <c r="U49" i="11" s="1"/>
  <c r="J51" i="17" s="1"/>
  <c r="J50" i="11"/>
  <c r="U50" i="11" s="1"/>
  <c r="J52" i="17" s="1"/>
  <c r="J51" i="11"/>
  <c r="J52" i="11"/>
  <c r="U52" i="11" s="1"/>
  <c r="J54" i="17" s="1"/>
  <c r="J53" i="11"/>
  <c r="U53" i="11" s="1"/>
  <c r="J55" i="17" s="1"/>
  <c r="J54" i="11"/>
  <c r="U54" i="11" s="1"/>
  <c r="J56" i="17" s="1"/>
  <c r="J55" i="11"/>
  <c r="U55" i="11" s="1"/>
  <c r="J57" i="17" s="1"/>
  <c r="J56" i="11"/>
  <c r="U56" i="11" s="1"/>
  <c r="J58" i="17" s="1"/>
  <c r="J57" i="11"/>
  <c r="U57" i="11" s="1"/>
  <c r="J59" i="17" s="1"/>
  <c r="J58" i="11"/>
  <c r="U58" i="11" s="1"/>
  <c r="J60" i="17" s="1"/>
  <c r="J59" i="11"/>
  <c r="J60" i="11"/>
  <c r="U60" i="11" s="1"/>
  <c r="J62" i="17" s="1"/>
  <c r="J61" i="11"/>
  <c r="U61" i="11" s="1"/>
  <c r="J63" i="17" s="1"/>
  <c r="J62" i="11"/>
  <c r="U62" i="11" s="1"/>
  <c r="J64" i="17" s="1"/>
  <c r="J63" i="11"/>
  <c r="U63" i="11" s="1"/>
  <c r="J65" i="17" s="1"/>
  <c r="J7" i="11"/>
  <c r="U7" i="11" s="1"/>
  <c r="J10" i="17" s="1"/>
  <c r="E65" i="11"/>
  <c r="G65" i="11"/>
  <c r="U23" i="11" l="1"/>
  <c r="J26" i="17" s="1"/>
  <c r="K26" i="17" s="1"/>
  <c r="U15" i="11"/>
  <c r="J18" i="17" s="1"/>
  <c r="U32" i="11"/>
  <c r="J34" i="17" s="1"/>
  <c r="K34" i="17" s="1"/>
  <c r="U9" i="11"/>
  <c r="J12" i="17" s="1"/>
  <c r="K12" i="17" s="1"/>
  <c r="U20" i="11"/>
  <c r="J23" i="17" s="1"/>
  <c r="K23" i="17" s="1"/>
  <c r="U19" i="11"/>
  <c r="J22" i="17" s="1"/>
  <c r="K22" i="17" s="1"/>
  <c r="U11" i="11"/>
  <c r="J14" i="17" s="1"/>
  <c r="U37" i="11"/>
  <c r="J39" i="17" s="1"/>
  <c r="K39" i="17" s="1"/>
  <c r="U12" i="11"/>
  <c r="J15" i="17" s="1"/>
  <c r="K15" i="17" s="1"/>
  <c r="K11" i="17"/>
  <c r="K59" i="17"/>
  <c r="K51" i="17"/>
  <c r="K43" i="17"/>
  <c r="K35" i="17"/>
  <c r="K27" i="17"/>
  <c r="K65" i="17"/>
  <c r="K57" i="17"/>
  <c r="K49" i="17"/>
  <c r="K19" i="17"/>
  <c r="U59" i="11"/>
  <c r="J61" i="17" s="1"/>
  <c r="K61" i="17" s="1"/>
  <c r="U51" i="11"/>
  <c r="J53" i="17" s="1"/>
  <c r="K53" i="17" s="1"/>
  <c r="U43" i="11"/>
  <c r="J45" i="17" s="1"/>
  <c r="K45" i="17" s="1"/>
  <c r="U35" i="11"/>
  <c r="J37" i="17" s="1"/>
  <c r="K37" i="17" s="1"/>
  <c r="U27" i="11"/>
  <c r="J29" i="17" s="1"/>
  <c r="K29" i="17" s="1"/>
  <c r="U18" i="11"/>
  <c r="J21" i="17" s="1"/>
  <c r="K21" i="17" s="1"/>
  <c r="U10" i="11"/>
  <c r="J13" i="17" s="1"/>
  <c r="K13" i="17" s="1"/>
  <c r="K16" i="17"/>
  <c r="K48" i="17"/>
  <c r="K40" i="17"/>
  <c r="K32" i="17"/>
  <c r="K24" i="17"/>
  <c r="K64" i="17"/>
  <c r="K56" i="17"/>
  <c r="K10" i="17"/>
  <c r="K41" i="17"/>
  <c r="K33" i="17"/>
  <c r="K25" i="17"/>
  <c r="K17" i="17"/>
  <c r="K42" i="17"/>
  <c r="K63" i="17"/>
  <c r="K62" i="17"/>
  <c r="K54" i="17"/>
  <c r="K46" i="17"/>
  <c r="K38" i="17"/>
  <c r="K30" i="17"/>
  <c r="K14" i="17"/>
  <c r="K58" i="17"/>
  <c r="K18" i="17"/>
  <c r="K55" i="17"/>
  <c r="K31" i="17"/>
  <c r="H67" i="17"/>
  <c r="K60" i="17"/>
  <c r="K52" i="17"/>
  <c r="K44" i="17"/>
  <c r="K36" i="17"/>
  <c r="K28" i="17"/>
  <c r="K20" i="17"/>
  <c r="K50" i="17"/>
  <c r="K47" i="17"/>
  <c r="E67" i="17"/>
  <c r="BL98" i="1" l="1"/>
  <c r="BM98" i="1"/>
  <c r="BH6" i="1"/>
  <c r="BH7" i="1"/>
  <c r="BH8" i="1"/>
  <c r="BH9" i="1"/>
  <c r="BH10" i="1"/>
  <c r="BH11" i="1"/>
  <c r="BH12" i="1"/>
  <c r="BH13" i="1"/>
  <c r="BH14" i="1"/>
  <c r="BH15" i="1"/>
  <c r="BH16" i="1"/>
  <c r="BH17" i="1"/>
  <c r="BH18" i="1"/>
  <c r="BH19" i="1"/>
  <c r="BH20" i="1"/>
  <c r="BH21" i="1"/>
  <c r="BH22" i="1"/>
  <c r="BH23" i="1"/>
  <c r="BH24" i="1"/>
  <c r="BH25" i="1"/>
  <c r="BH26" i="1"/>
  <c r="BH27" i="1"/>
  <c r="BH28" i="1"/>
  <c r="BH29" i="1"/>
  <c r="BH30" i="1"/>
  <c r="BH31" i="1"/>
  <c r="BH32" i="1"/>
  <c r="BH33" i="1"/>
  <c r="BH34" i="1"/>
  <c r="BH35" i="1"/>
  <c r="BH36" i="1"/>
  <c r="BH37" i="1"/>
  <c r="BH38" i="1"/>
  <c r="BH39" i="1"/>
  <c r="BH40" i="1"/>
  <c r="BH41" i="1"/>
  <c r="BH42" i="1"/>
  <c r="BH43" i="1"/>
  <c r="BH44" i="1"/>
  <c r="BH45" i="1"/>
  <c r="BH46" i="1"/>
  <c r="BH47" i="1"/>
  <c r="BH48" i="1"/>
  <c r="BH49" i="1"/>
  <c r="BH50" i="1"/>
  <c r="BH51" i="1"/>
  <c r="BH52" i="1"/>
  <c r="BH53" i="1"/>
  <c r="BH54" i="1"/>
  <c r="BH55" i="1"/>
  <c r="BH56" i="1"/>
  <c r="BH57" i="1"/>
  <c r="BH58" i="1"/>
  <c r="BH59" i="1"/>
  <c r="BH60" i="1"/>
  <c r="BH61" i="1"/>
  <c r="BH62" i="1"/>
  <c r="BH63" i="1"/>
  <c r="BH64" i="1"/>
  <c r="BH65" i="1"/>
  <c r="BH66" i="1"/>
  <c r="BH67" i="1"/>
  <c r="BH68" i="1"/>
  <c r="BH69" i="1"/>
  <c r="BH70" i="1"/>
  <c r="BH71" i="1"/>
  <c r="BH72" i="1"/>
  <c r="BH73" i="1"/>
  <c r="BH74" i="1"/>
  <c r="BH75" i="1"/>
  <c r="BH76" i="1"/>
  <c r="BH77" i="1"/>
  <c r="BH78" i="1"/>
  <c r="BH79" i="1"/>
  <c r="BH80" i="1"/>
  <c r="BH81" i="1"/>
  <c r="BH82" i="1"/>
  <c r="BH83" i="1"/>
  <c r="BH84" i="1"/>
  <c r="BH85" i="1"/>
  <c r="BH86" i="1"/>
  <c r="BH87" i="1"/>
  <c r="BH88" i="1"/>
  <c r="BH89" i="1"/>
  <c r="BH90" i="1"/>
  <c r="BH91" i="1"/>
  <c r="BH92" i="1"/>
  <c r="BH93" i="1"/>
  <c r="BH95" i="1"/>
  <c r="BH96" i="1"/>
  <c r="BH94" i="1"/>
  <c r="BF59" i="1"/>
  <c r="BW1" i="1" l="1"/>
  <c r="BX1" i="1" s="1"/>
  <c r="BY1" i="1" s="1"/>
  <c r="BZ1" i="1" s="1"/>
  <c r="CA1" i="1" s="1"/>
  <c r="CB1" i="1" s="1"/>
  <c r="CC1" i="1" s="1"/>
  <c r="CD1" i="1" s="1"/>
  <c r="CE1" i="1" s="1"/>
  <c r="CF1" i="1" s="1"/>
  <c r="CH1" i="1" s="1"/>
  <c r="CI1" i="1" s="1"/>
  <c r="CJ1" i="1" s="1"/>
  <c r="CK1" i="1" s="1"/>
  <c r="CB13" i="1"/>
  <c r="CB80" i="1"/>
  <c r="CB85" i="1"/>
  <c r="CB30" i="1"/>
  <c r="CB57" i="1"/>
  <c r="CB37" i="1"/>
  <c r="CB36" i="1"/>
  <c r="CB24" i="1"/>
  <c r="CB25" i="1"/>
  <c r="CB50" i="1"/>
  <c r="CB49" i="1"/>
  <c r="CB56" i="1"/>
  <c r="CB60" i="1"/>
  <c r="CB63" i="1"/>
  <c r="CB58" i="1"/>
  <c r="CB8" i="1"/>
  <c r="CB62" i="1"/>
  <c r="CB19" i="1"/>
  <c r="CB38" i="1"/>
  <c r="CB7" i="1"/>
  <c r="CB12" i="1"/>
  <c r="CB54" i="1"/>
  <c r="CB22" i="1"/>
  <c r="CB69" i="1"/>
  <c r="CB67" i="1"/>
  <c r="CB65" i="1"/>
  <c r="CB52" i="1"/>
  <c r="CB34" i="1"/>
  <c r="CB32" i="1"/>
  <c r="CB73" i="1"/>
  <c r="CB74" i="1"/>
  <c r="CB70" i="1"/>
  <c r="CB68" i="1"/>
  <c r="CB47" i="1"/>
  <c r="CB48" i="1"/>
  <c r="CB44" i="1"/>
  <c r="CB45" i="1"/>
  <c r="CB40" i="1"/>
  <c r="CB41" i="1"/>
  <c r="CB31" i="1"/>
  <c r="CB29" i="1"/>
  <c r="CB28" i="1"/>
  <c r="CB26" i="1"/>
  <c r="CB27" i="1"/>
  <c r="CB23" i="1"/>
  <c r="CB20" i="1"/>
  <c r="CB21" i="1"/>
  <c r="CB18" i="1"/>
  <c r="CB14" i="1"/>
  <c r="CB64" i="1"/>
  <c r="CB9" i="1"/>
  <c r="CA98" i="1"/>
  <c r="CB98" i="1" l="1"/>
  <c r="AC42" i="1"/>
  <c r="BF42" i="1" s="1"/>
  <c r="AC31" i="1"/>
  <c r="BF31" i="1" s="1"/>
  <c r="AC41" i="1"/>
  <c r="BF41" i="1" s="1"/>
  <c r="AC40" i="1"/>
  <c r="BF40" i="1" s="1"/>
  <c r="AC45" i="1"/>
  <c r="BF45" i="1" s="1"/>
  <c r="AC44" i="1"/>
  <c r="BF44" i="1" s="1"/>
  <c r="AC48" i="1"/>
  <c r="BF48" i="1" s="1"/>
  <c r="AC47" i="1"/>
  <c r="BF47" i="1" s="1"/>
  <c r="AC51" i="1"/>
  <c r="BF51" i="1" s="1"/>
  <c r="AC53" i="1"/>
  <c r="BF53" i="1" s="1"/>
  <c r="AC55" i="1"/>
  <c r="BF55" i="1" s="1"/>
  <c r="AC71" i="1"/>
  <c r="BF71" i="1" s="1"/>
  <c r="AC66" i="1"/>
  <c r="BF66" i="1" s="1"/>
  <c r="AC68" i="1"/>
  <c r="BF68" i="1" s="1"/>
  <c r="AC70" i="1"/>
  <c r="BF70" i="1" s="1"/>
  <c r="BK1" i="1" l="1"/>
  <c r="BL1" i="1" s="1"/>
  <c r="BM1" i="1" s="1"/>
  <c r="BN1" i="1" s="1"/>
  <c r="BO1" i="1" s="1"/>
  <c r="BP1" i="1" s="1"/>
  <c r="BQ1" i="1" s="1"/>
  <c r="BR1" i="1" s="1"/>
  <c r="BS1" i="1" s="1"/>
  <c r="AH6" i="1" l="1"/>
  <c r="AI6" i="1"/>
  <c r="AJ6" i="1"/>
  <c r="AK6" i="1"/>
  <c r="AL6" i="1"/>
  <c r="AM6" i="1"/>
  <c r="AH10" i="1"/>
  <c r="AI10" i="1"/>
  <c r="AJ10" i="1"/>
  <c r="AK10" i="1"/>
  <c r="AL10" i="1"/>
  <c r="AM10" i="1"/>
  <c r="AH9" i="1"/>
  <c r="AI9" i="1"/>
  <c r="AJ9" i="1"/>
  <c r="AK9" i="1"/>
  <c r="AL9" i="1"/>
  <c r="AM9" i="1"/>
  <c r="AH64" i="1"/>
  <c r="AI64" i="1"/>
  <c r="AJ64" i="1"/>
  <c r="AK64" i="1"/>
  <c r="AL64" i="1"/>
  <c r="AM64" i="1"/>
  <c r="AH13" i="1"/>
  <c r="AI13" i="1"/>
  <c r="AJ13" i="1"/>
  <c r="AK13" i="1"/>
  <c r="AL13" i="1"/>
  <c r="AM13" i="1"/>
  <c r="AH78" i="1"/>
  <c r="AI78" i="1"/>
  <c r="AJ78" i="1"/>
  <c r="AK78" i="1"/>
  <c r="AL78" i="1"/>
  <c r="AM78" i="1"/>
  <c r="AH81" i="1"/>
  <c r="AI81" i="1"/>
  <c r="AJ81" i="1"/>
  <c r="AK81" i="1"/>
  <c r="AL81" i="1"/>
  <c r="AM81" i="1"/>
  <c r="AH96" i="1"/>
  <c r="AI96" i="1"/>
  <c r="AJ96" i="1"/>
  <c r="AK96" i="1"/>
  <c r="AL96" i="1"/>
  <c r="AM96" i="1"/>
  <c r="AH88" i="1"/>
  <c r="AI88" i="1"/>
  <c r="AJ88" i="1"/>
  <c r="AK88" i="1"/>
  <c r="AL88" i="1"/>
  <c r="AM88" i="1"/>
  <c r="AH95" i="1"/>
  <c r="AI95" i="1"/>
  <c r="AJ95" i="1"/>
  <c r="AK95" i="1"/>
  <c r="AL95" i="1"/>
  <c r="AM95" i="1"/>
  <c r="AH84" i="1"/>
  <c r="AI84" i="1"/>
  <c r="AJ84" i="1"/>
  <c r="AK84" i="1"/>
  <c r="AL84" i="1"/>
  <c r="AM84" i="1"/>
  <c r="AH89" i="1"/>
  <c r="AI89" i="1"/>
  <c r="AJ89" i="1"/>
  <c r="AK89" i="1"/>
  <c r="AL89" i="1"/>
  <c r="AM89" i="1"/>
  <c r="AH83" i="1"/>
  <c r="AI83" i="1"/>
  <c r="AJ83" i="1"/>
  <c r="AK83" i="1"/>
  <c r="AL83" i="1"/>
  <c r="AM83" i="1"/>
  <c r="AH92" i="1"/>
  <c r="AI92" i="1"/>
  <c r="AJ92" i="1"/>
  <c r="AK92" i="1"/>
  <c r="AL92" i="1"/>
  <c r="AM92" i="1"/>
  <c r="AH85" i="1"/>
  <c r="AI85" i="1"/>
  <c r="AJ85" i="1"/>
  <c r="AK85" i="1"/>
  <c r="AL85" i="1"/>
  <c r="AM85" i="1"/>
  <c r="AH91" i="1"/>
  <c r="AI91" i="1"/>
  <c r="AJ91" i="1"/>
  <c r="AK91" i="1"/>
  <c r="AL91" i="1"/>
  <c r="AM91" i="1"/>
  <c r="AH80" i="1"/>
  <c r="AI80" i="1"/>
  <c r="AJ80" i="1"/>
  <c r="AK80" i="1"/>
  <c r="AL80" i="1"/>
  <c r="AM80" i="1"/>
  <c r="AH76" i="1"/>
  <c r="AI76" i="1"/>
  <c r="AJ76" i="1"/>
  <c r="AK76" i="1"/>
  <c r="AL76" i="1"/>
  <c r="AM76" i="1"/>
  <c r="AH94" i="1"/>
  <c r="AI94" i="1"/>
  <c r="AJ94" i="1"/>
  <c r="AK94" i="1"/>
  <c r="AL94" i="1"/>
  <c r="AM94" i="1"/>
  <c r="AN6" i="1"/>
  <c r="AN10" i="1"/>
  <c r="AN9" i="1"/>
  <c r="AN64" i="1"/>
  <c r="AN13" i="1"/>
  <c r="AN15" i="1"/>
  <c r="AN14" i="1"/>
  <c r="AN18" i="1"/>
  <c r="AN43" i="1"/>
  <c r="AN21" i="1"/>
  <c r="AN20" i="1"/>
  <c r="AN23" i="1"/>
  <c r="AN33" i="1"/>
  <c r="AN46" i="1"/>
  <c r="AN27" i="1"/>
  <c r="AN26" i="1"/>
  <c r="AN28" i="1"/>
  <c r="AN29" i="1"/>
  <c r="AN39" i="1"/>
  <c r="AN42" i="1"/>
  <c r="AN31" i="1"/>
  <c r="AN41" i="1"/>
  <c r="AN40" i="1"/>
  <c r="AN59" i="1"/>
  <c r="AN45" i="1"/>
  <c r="AN44" i="1"/>
  <c r="AN48" i="1"/>
  <c r="AN47" i="1"/>
  <c r="AN51" i="1"/>
  <c r="AN53" i="1"/>
  <c r="AN55" i="1"/>
  <c r="AN71" i="1"/>
  <c r="AN66" i="1"/>
  <c r="AN68" i="1"/>
  <c r="AN70" i="1"/>
  <c r="AN74" i="1"/>
  <c r="AN73" i="1"/>
  <c r="AN32" i="1"/>
  <c r="AN34" i="1"/>
  <c r="AN52" i="1"/>
  <c r="AN65" i="1"/>
  <c r="AN67" i="1"/>
  <c r="AN69" i="1"/>
  <c r="AN22" i="1"/>
  <c r="AN17" i="1"/>
  <c r="AN54" i="1"/>
  <c r="AN35" i="1"/>
  <c r="AN72" i="1"/>
  <c r="AN12" i="1"/>
  <c r="AN7" i="1"/>
  <c r="AN38" i="1"/>
  <c r="AN61" i="1"/>
  <c r="AN19" i="1"/>
  <c r="AN62" i="1"/>
  <c r="AN8" i="1"/>
  <c r="AN58" i="1"/>
  <c r="AN63" i="1"/>
  <c r="AN60" i="1"/>
  <c r="AN56" i="1"/>
  <c r="AN16" i="1"/>
  <c r="AN87" i="1"/>
  <c r="AN79" i="1"/>
  <c r="AN93" i="1"/>
  <c r="AN86" i="1"/>
  <c r="AN90" i="1"/>
  <c r="AN82" i="1"/>
  <c r="AN77" i="1"/>
  <c r="AN75" i="1"/>
  <c r="AN49" i="1"/>
  <c r="AN50" i="1"/>
  <c r="AN25" i="1"/>
  <c r="AN24" i="1"/>
  <c r="AN36" i="1"/>
  <c r="AN37" i="1"/>
  <c r="AN11" i="1"/>
  <c r="AN57" i="1"/>
  <c r="AN30" i="1"/>
  <c r="AN78" i="1"/>
  <c r="AN81" i="1"/>
  <c r="AN96" i="1"/>
  <c r="AN88" i="1"/>
  <c r="AN95" i="1"/>
  <c r="AN84" i="1"/>
  <c r="AN89" i="1"/>
  <c r="AN83" i="1"/>
  <c r="AN92" i="1"/>
  <c r="AN85" i="1"/>
  <c r="AN91" i="1"/>
  <c r="AN80" i="1"/>
  <c r="AN76" i="1"/>
  <c r="AN94" i="1"/>
  <c r="AO6" i="1"/>
  <c r="AP6" i="1"/>
  <c r="AQ6" i="1"/>
  <c r="AR6" i="1"/>
  <c r="AS6" i="1"/>
  <c r="AO10" i="1"/>
  <c r="AP10" i="1"/>
  <c r="AQ10" i="1"/>
  <c r="AR10" i="1"/>
  <c r="AS10" i="1"/>
  <c r="AO9" i="1"/>
  <c r="AP9" i="1"/>
  <c r="AQ9" i="1"/>
  <c r="AR9" i="1"/>
  <c r="AS9" i="1"/>
  <c r="AO64" i="1"/>
  <c r="AP64" i="1"/>
  <c r="AQ64" i="1"/>
  <c r="AR64" i="1"/>
  <c r="AS64" i="1"/>
  <c r="AO13" i="1"/>
  <c r="AP13" i="1"/>
  <c r="AQ13" i="1"/>
  <c r="AR13" i="1"/>
  <c r="AS13" i="1"/>
  <c r="AO15" i="1"/>
  <c r="AP15" i="1"/>
  <c r="AQ15" i="1"/>
  <c r="AR15" i="1"/>
  <c r="AS15" i="1"/>
  <c r="AO14" i="1"/>
  <c r="AP14" i="1"/>
  <c r="AQ14" i="1"/>
  <c r="AR14" i="1"/>
  <c r="AS14" i="1"/>
  <c r="AO18" i="1"/>
  <c r="AP18" i="1"/>
  <c r="AQ18" i="1"/>
  <c r="AR18" i="1"/>
  <c r="AS18" i="1"/>
  <c r="AO43" i="1"/>
  <c r="AP43" i="1"/>
  <c r="AQ43" i="1"/>
  <c r="AR43" i="1"/>
  <c r="AS43" i="1"/>
  <c r="AO21" i="1"/>
  <c r="AP21" i="1"/>
  <c r="AQ21" i="1"/>
  <c r="AR21" i="1"/>
  <c r="AS21" i="1"/>
  <c r="AO20" i="1"/>
  <c r="AP20" i="1"/>
  <c r="AQ20" i="1"/>
  <c r="AR20" i="1"/>
  <c r="AS20" i="1"/>
  <c r="AO23" i="1"/>
  <c r="AP23" i="1"/>
  <c r="AQ23" i="1"/>
  <c r="AR23" i="1"/>
  <c r="AS23" i="1"/>
  <c r="AO33" i="1"/>
  <c r="AP33" i="1"/>
  <c r="AQ33" i="1"/>
  <c r="AR33" i="1"/>
  <c r="AS33" i="1"/>
  <c r="AO46" i="1"/>
  <c r="AP46" i="1"/>
  <c r="AQ46" i="1"/>
  <c r="AR46" i="1"/>
  <c r="AS46" i="1"/>
  <c r="AO27" i="1"/>
  <c r="AP27" i="1"/>
  <c r="AQ27" i="1"/>
  <c r="AR27" i="1"/>
  <c r="AS27" i="1"/>
  <c r="AO26" i="1"/>
  <c r="AP26" i="1"/>
  <c r="AQ26" i="1"/>
  <c r="AR26" i="1"/>
  <c r="AS26" i="1"/>
  <c r="AO28" i="1"/>
  <c r="AP28" i="1"/>
  <c r="AQ28" i="1"/>
  <c r="AR28" i="1"/>
  <c r="AS28" i="1"/>
  <c r="AO29" i="1"/>
  <c r="AP29" i="1"/>
  <c r="AQ29" i="1"/>
  <c r="AR29" i="1"/>
  <c r="AS29" i="1"/>
  <c r="AO39" i="1"/>
  <c r="AP39" i="1"/>
  <c r="AQ39" i="1"/>
  <c r="AR39" i="1"/>
  <c r="AS39" i="1"/>
  <c r="AO42" i="1"/>
  <c r="AP42" i="1"/>
  <c r="AQ42" i="1"/>
  <c r="AR42" i="1"/>
  <c r="AS42" i="1"/>
  <c r="AO31" i="1"/>
  <c r="AP31" i="1"/>
  <c r="AQ31" i="1"/>
  <c r="AR31" i="1"/>
  <c r="AS31" i="1"/>
  <c r="AO41" i="1"/>
  <c r="AP41" i="1"/>
  <c r="AQ41" i="1"/>
  <c r="AR41" i="1"/>
  <c r="AS41" i="1"/>
  <c r="AO40" i="1"/>
  <c r="AP40" i="1"/>
  <c r="AQ40" i="1"/>
  <c r="AR40" i="1"/>
  <c r="AS40" i="1"/>
  <c r="AO59" i="1"/>
  <c r="AP59" i="1"/>
  <c r="AQ59" i="1"/>
  <c r="AR59" i="1"/>
  <c r="AS59" i="1"/>
  <c r="AO45" i="1"/>
  <c r="AP45" i="1"/>
  <c r="AQ45" i="1"/>
  <c r="AR45" i="1"/>
  <c r="AS45" i="1"/>
  <c r="AO44" i="1"/>
  <c r="AP44" i="1"/>
  <c r="AQ44" i="1"/>
  <c r="AR44" i="1"/>
  <c r="AS44" i="1"/>
  <c r="AO48" i="1"/>
  <c r="AP48" i="1"/>
  <c r="AQ48" i="1"/>
  <c r="AR48" i="1"/>
  <c r="AS48" i="1"/>
  <c r="AO47" i="1"/>
  <c r="AP47" i="1"/>
  <c r="AQ47" i="1"/>
  <c r="AR47" i="1"/>
  <c r="AS47" i="1"/>
  <c r="AO51" i="1"/>
  <c r="AP51" i="1"/>
  <c r="AQ51" i="1"/>
  <c r="AR51" i="1"/>
  <c r="AS51" i="1"/>
  <c r="AO53" i="1"/>
  <c r="AP53" i="1"/>
  <c r="AQ53" i="1"/>
  <c r="AR53" i="1"/>
  <c r="AS53" i="1"/>
  <c r="AO55" i="1"/>
  <c r="AP55" i="1"/>
  <c r="AQ55" i="1"/>
  <c r="AR55" i="1"/>
  <c r="AS55" i="1"/>
  <c r="AO71" i="1"/>
  <c r="AP71" i="1"/>
  <c r="AQ71" i="1"/>
  <c r="AR71" i="1"/>
  <c r="AS71" i="1"/>
  <c r="AO66" i="1"/>
  <c r="AP66" i="1"/>
  <c r="AQ66" i="1"/>
  <c r="AR66" i="1"/>
  <c r="AS66" i="1"/>
  <c r="AO68" i="1"/>
  <c r="AP68" i="1"/>
  <c r="AQ68" i="1"/>
  <c r="AR68" i="1"/>
  <c r="AS68" i="1"/>
  <c r="AO70" i="1"/>
  <c r="AP70" i="1"/>
  <c r="AQ70" i="1"/>
  <c r="AR70" i="1"/>
  <c r="AS70" i="1"/>
  <c r="AO74" i="1"/>
  <c r="AP74" i="1"/>
  <c r="AQ74" i="1"/>
  <c r="AR74" i="1"/>
  <c r="AS74" i="1"/>
  <c r="AO73" i="1"/>
  <c r="AP73" i="1"/>
  <c r="AQ73" i="1"/>
  <c r="AR73" i="1"/>
  <c r="AS73" i="1"/>
  <c r="AO32" i="1"/>
  <c r="AP32" i="1"/>
  <c r="AQ32" i="1"/>
  <c r="AR32" i="1"/>
  <c r="AS32" i="1"/>
  <c r="AO34" i="1"/>
  <c r="AP34" i="1"/>
  <c r="AQ34" i="1"/>
  <c r="AR34" i="1"/>
  <c r="AS34" i="1"/>
  <c r="AO52" i="1"/>
  <c r="AP52" i="1"/>
  <c r="AQ52" i="1"/>
  <c r="AR52" i="1"/>
  <c r="AS52" i="1"/>
  <c r="AO65" i="1"/>
  <c r="AP65" i="1"/>
  <c r="AQ65" i="1"/>
  <c r="AR65" i="1"/>
  <c r="AS65" i="1"/>
  <c r="AO67" i="1"/>
  <c r="AP67" i="1"/>
  <c r="AQ67" i="1"/>
  <c r="AR67" i="1"/>
  <c r="AS67" i="1"/>
  <c r="AO69" i="1"/>
  <c r="AP69" i="1"/>
  <c r="AQ69" i="1"/>
  <c r="AR69" i="1"/>
  <c r="AS69" i="1"/>
  <c r="AO22" i="1"/>
  <c r="AP22" i="1"/>
  <c r="AQ22" i="1"/>
  <c r="AR22" i="1"/>
  <c r="AS22" i="1"/>
  <c r="AO17" i="1"/>
  <c r="AP17" i="1"/>
  <c r="AQ17" i="1"/>
  <c r="AR17" i="1"/>
  <c r="AS17" i="1"/>
  <c r="AO54" i="1"/>
  <c r="AP54" i="1"/>
  <c r="AQ54" i="1"/>
  <c r="AR54" i="1"/>
  <c r="AS54" i="1"/>
  <c r="AO35" i="1"/>
  <c r="AP35" i="1"/>
  <c r="AQ35" i="1"/>
  <c r="AR35" i="1"/>
  <c r="AS35" i="1"/>
  <c r="AO72" i="1"/>
  <c r="AP72" i="1"/>
  <c r="AQ72" i="1"/>
  <c r="AR72" i="1"/>
  <c r="AS72" i="1"/>
  <c r="AO12" i="1"/>
  <c r="AP12" i="1"/>
  <c r="AQ12" i="1"/>
  <c r="AR12" i="1"/>
  <c r="AS12" i="1"/>
  <c r="AO7" i="1"/>
  <c r="AP7" i="1"/>
  <c r="AQ7" i="1"/>
  <c r="AR7" i="1"/>
  <c r="AS7" i="1"/>
  <c r="AO38" i="1"/>
  <c r="AP38" i="1"/>
  <c r="AQ38" i="1"/>
  <c r="AR38" i="1"/>
  <c r="AS38" i="1"/>
  <c r="AO61" i="1"/>
  <c r="AP61" i="1"/>
  <c r="AQ61" i="1"/>
  <c r="AR61" i="1"/>
  <c r="AS61" i="1"/>
  <c r="AO19" i="1"/>
  <c r="AP19" i="1"/>
  <c r="AQ19" i="1"/>
  <c r="AR19" i="1"/>
  <c r="AS19" i="1"/>
  <c r="AO62" i="1"/>
  <c r="AP62" i="1"/>
  <c r="AQ62" i="1"/>
  <c r="AR62" i="1"/>
  <c r="AS62" i="1"/>
  <c r="AO8" i="1"/>
  <c r="AP8" i="1"/>
  <c r="AQ8" i="1"/>
  <c r="AR8" i="1"/>
  <c r="AS8" i="1"/>
  <c r="AO58" i="1"/>
  <c r="AP58" i="1"/>
  <c r="AQ58" i="1"/>
  <c r="AR58" i="1"/>
  <c r="AS58" i="1"/>
  <c r="AO63" i="1"/>
  <c r="AP63" i="1"/>
  <c r="AQ63" i="1"/>
  <c r="AR63" i="1"/>
  <c r="AS63" i="1"/>
  <c r="AO60" i="1"/>
  <c r="AP60" i="1"/>
  <c r="AQ60" i="1"/>
  <c r="AR60" i="1"/>
  <c r="AS60" i="1"/>
  <c r="AO56" i="1"/>
  <c r="AP56" i="1"/>
  <c r="AQ56" i="1"/>
  <c r="AR56" i="1"/>
  <c r="AS56" i="1"/>
  <c r="AO16" i="1"/>
  <c r="AP16" i="1"/>
  <c r="AQ16" i="1"/>
  <c r="AR16" i="1"/>
  <c r="AS16" i="1"/>
  <c r="AO87" i="1"/>
  <c r="AP87" i="1"/>
  <c r="AQ87" i="1"/>
  <c r="AR87" i="1"/>
  <c r="AS87" i="1"/>
  <c r="AO79" i="1"/>
  <c r="AP79" i="1"/>
  <c r="AQ79" i="1"/>
  <c r="AR79" i="1"/>
  <c r="AS79" i="1"/>
  <c r="AO93" i="1"/>
  <c r="AP93" i="1"/>
  <c r="AQ93" i="1"/>
  <c r="AR93" i="1"/>
  <c r="AS93" i="1"/>
  <c r="AO86" i="1"/>
  <c r="AP86" i="1"/>
  <c r="AQ86" i="1"/>
  <c r="AR86" i="1"/>
  <c r="AS86" i="1"/>
  <c r="AO90" i="1"/>
  <c r="AP90" i="1"/>
  <c r="AQ90" i="1"/>
  <c r="AR90" i="1"/>
  <c r="AS90" i="1"/>
  <c r="AO82" i="1"/>
  <c r="AP82" i="1"/>
  <c r="AQ82" i="1"/>
  <c r="AR82" i="1"/>
  <c r="AS82" i="1"/>
  <c r="AO77" i="1"/>
  <c r="AP77" i="1"/>
  <c r="AQ77" i="1"/>
  <c r="AR77" i="1"/>
  <c r="AS77" i="1"/>
  <c r="AO75" i="1"/>
  <c r="AP75" i="1"/>
  <c r="AQ75" i="1"/>
  <c r="AR75" i="1"/>
  <c r="AS75" i="1"/>
  <c r="AO49" i="1"/>
  <c r="AP49" i="1"/>
  <c r="AQ49" i="1"/>
  <c r="AR49" i="1"/>
  <c r="AS49" i="1"/>
  <c r="AO50" i="1"/>
  <c r="AP50" i="1"/>
  <c r="AQ50" i="1"/>
  <c r="AR50" i="1"/>
  <c r="AS50" i="1"/>
  <c r="AO25" i="1"/>
  <c r="AP25" i="1"/>
  <c r="AQ25" i="1"/>
  <c r="AR25" i="1"/>
  <c r="AS25" i="1"/>
  <c r="AO24" i="1"/>
  <c r="AP24" i="1"/>
  <c r="AQ24" i="1"/>
  <c r="AR24" i="1"/>
  <c r="AS24" i="1"/>
  <c r="AO36" i="1"/>
  <c r="AP36" i="1"/>
  <c r="AQ36" i="1"/>
  <c r="AR36" i="1"/>
  <c r="AS36" i="1"/>
  <c r="AO37" i="1"/>
  <c r="AP37" i="1"/>
  <c r="AQ37" i="1"/>
  <c r="AR37" i="1"/>
  <c r="AS37" i="1"/>
  <c r="AO11" i="1"/>
  <c r="AP11" i="1"/>
  <c r="AQ11" i="1"/>
  <c r="AR11" i="1"/>
  <c r="AS11" i="1"/>
  <c r="AO57" i="1"/>
  <c r="AP57" i="1"/>
  <c r="AQ57" i="1"/>
  <c r="AR57" i="1"/>
  <c r="AS57" i="1"/>
  <c r="AO30" i="1"/>
  <c r="AP30" i="1"/>
  <c r="AQ30" i="1"/>
  <c r="AR30" i="1"/>
  <c r="AS30" i="1"/>
  <c r="AO78" i="1"/>
  <c r="AP78" i="1"/>
  <c r="AQ78" i="1"/>
  <c r="AR78" i="1"/>
  <c r="AS78" i="1"/>
  <c r="AO81" i="1"/>
  <c r="AP81" i="1"/>
  <c r="AQ81" i="1"/>
  <c r="AR81" i="1"/>
  <c r="AS81" i="1"/>
  <c r="AO96" i="1"/>
  <c r="AP96" i="1"/>
  <c r="AQ96" i="1"/>
  <c r="AR96" i="1"/>
  <c r="AS96" i="1"/>
  <c r="AO88" i="1"/>
  <c r="AP88" i="1"/>
  <c r="AQ88" i="1"/>
  <c r="AR88" i="1"/>
  <c r="AS88" i="1"/>
  <c r="AO95" i="1"/>
  <c r="AP95" i="1"/>
  <c r="AQ95" i="1"/>
  <c r="AR95" i="1"/>
  <c r="AS95" i="1"/>
  <c r="AO84" i="1"/>
  <c r="AP84" i="1"/>
  <c r="AQ84" i="1"/>
  <c r="AR84" i="1"/>
  <c r="AS84" i="1"/>
  <c r="AO89" i="1"/>
  <c r="AP89" i="1"/>
  <c r="AQ89" i="1"/>
  <c r="AR89" i="1"/>
  <c r="AS89" i="1"/>
  <c r="AO83" i="1"/>
  <c r="AP83" i="1"/>
  <c r="AQ83" i="1"/>
  <c r="AR83" i="1"/>
  <c r="AS83" i="1"/>
  <c r="AO92" i="1"/>
  <c r="AP92" i="1"/>
  <c r="AQ92" i="1"/>
  <c r="AR92" i="1"/>
  <c r="AS92" i="1"/>
  <c r="AO85" i="1"/>
  <c r="AP85" i="1"/>
  <c r="AQ85" i="1"/>
  <c r="AR85" i="1"/>
  <c r="AS85" i="1"/>
  <c r="AO91" i="1"/>
  <c r="AP91" i="1"/>
  <c r="AQ91" i="1"/>
  <c r="AR91" i="1"/>
  <c r="AS91" i="1"/>
  <c r="AO80" i="1"/>
  <c r="AP80" i="1"/>
  <c r="AQ80" i="1"/>
  <c r="AR80" i="1"/>
  <c r="AS80" i="1"/>
  <c r="AO76" i="1"/>
  <c r="AP76" i="1"/>
  <c r="AQ76" i="1"/>
  <c r="AR76" i="1"/>
  <c r="AS76" i="1"/>
  <c r="AO94" i="1"/>
  <c r="AP94" i="1"/>
  <c r="AQ94" i="1"/>
  <c r="AR94" i="1"/>
  <c r="AS94" i="1"/>
  <c r="G98" i="1" l="1"/>
  <c r="H98" i="1"/>
  <c r="E98" i="1"/>
  <c r="F98" i="1"/>
  <c r="D20" i="9" l="1"/>
  <c r="D16" i="9"/>
  <c r="D15" i="9"/>
  <c r="F10" i="9"/>
  <c r="E33" i="16" l="1"/>
  <c r="D33" i="16"/>
  <c r="C33" i="16"/>
  <c r="E15" i="16"/>
  <c r="D15" i="16"/>
  <c r="C15" i="16"/>
  <c r="B4" i="16"/>
  <c r="D26" i="16" l="1"/>
  <c r="D27" i="16" s="1"/>
  <c r="E26" i="16"/>
  <c r="E27" i="16" s="1"/>
  <c r="C26" i="16"/>
  <c r="C27" i="16" s="1"/>
  <c r="F33" i="16"/>
  <c r="F15" i="16"/>
  <c r="E8" i="16"/>
  <c r="E9" i="16" s="1"/>
  <c r="C8" i="16"/>
  <c r="C10" i="16"/>
  <c r="C28" i="16" s="1"/>
  <c r="E34" i="16" s="1"/>
  <c r="E36" i="16" s="1"/>
  <c r="C34" i="16" l="1"/>
  <c r="C36" i="16" s="1"/>
  <c r="E28" i="16"/>
  <c r="E30" i="16" s="1"/>
  <c r="E38" i="16" s="1"/>
  <c r="C30" i="16"/>
  <c r="F26" i="16"/>
  <c r="D28" i="16"/>
  <c r="D30" i="16" s="1"/>
  <c r="D34" i="16"/>
  <c r="D36" i="16" s="1"/>
  <c r="C12" i="16"/>
  <c r="C9" i="16"/>
  <c r="D16" i="16"/>
  <c r="D18" i="16" s="1"/>
  <c r="C16" i="16"/>
  <c r="C18" i="16" s="1"/>
  <c r="E10" i="16"/>
  <c r="E12" i="16" s="1"/>
  <c r="E16" i="16"/>
  <c r="E18" i="16" s="1"/>
  <c r="D10" i="16"/>
  <c r="F36" i="16" l="1"/>
  <c r="C38" i="16"/>
  <c r="D38" i="16"/>
  <c r="F30" i="16"/>
  <c r="E20" i="16"/>
  <c r="F38" i="16" l="1"/>
  <c r="C20" i="16"/>
  <c r="F18" i="16"/>
  <c r="AC10" i="1" l="1"/>
  <c r="BF10" i="1" s="1"/>
  <c r="AD10" i="1"/>
  <c r="AE10" i="1"/>
  <c r="AF10" i="1"/>
  <c r="AG10" i="1"/>
  <c r="AC9" i="1"/>
  <c r="BF9" i="1" s="1"/>
  <c r="AD9" i="1"/>
  <c r="AE9" i="1"/>
  <c r="AF9" i="1"/>
  <c r="AG9" i="1"/>
  <c r="AC64" i="1"/>
  <c r="BF64" i="1" s="1"/>
  <c r="AD64" i="1"/>
  <c r="AE64" i="1"/>
  <c r="AF64" i="1"/>
  <c r="AG64" i="1"/>
  <c r="AC13" i="1"/>
  <c r="BF13" i="1" s="1"/>
  <c r="AD13" i="1"/>
  <c r="AE13" i="1"/>
  <c r="AF13" i="1"/>
  <c r="AG13" i="1"/>
  <c r="AC15" i="1"/>
  <c r="BF15" i="1" s="1"/>
  <c r="AD15" i="1"/>
  <c r="AE15" i="1"/>
  <c r="AG15" i="1"/>
  <c r="AC14" i="1"/>
  <c r="BF14" i="1" s="1"/>
  <c r="AD14" i="1"/>
  <c r="AE14" i="1"/>
  <c r="AG14" i="1"/>
  <c r="AC18" i="1"/>
  <c r="BF18" i="1" s="1"/>
  <c r="AD18" i="1"/>
  <c r="AE18" i="1"/>
  <c r="AG18" i="1"/>
  <c r="AC43" i="1"/>
  <c r="BF43" i="1" s="1"/>
  <c r="AD43" i="1"/>
  <c r="AE43" i="1"/>
  <c r="AG43" i="1"/>
  <c r="AC21" i="1"/>
  <c r="BF21" i="1" s="1"/>
  <c r="AD21" i="1"/>
  <c r="AE21" i="1"/>
  <c r="AG21" i="1"/>
  <c r="AC20" i="1"/>
  <c r="BF20" i="1" s="1"/>
  <c r="AD20" i="1"/>
  <c r="AE20" i="1"/>
  <c r="AG20" i="1"/>
  <c r="AC23" i="1"/>
  <c r="BF23" i="1" s="1"/>
  <c r="AD23" i="1"/>
  <c r="AE23" i="1"/>
  <c r="AG23" i="1"/>
  <c r="AC33" i="1"/>
  <c r="BF33" i="1" s="1"/>
  <c r="AD33" i="1"/>
  <c r="AE33" i="1"/>
  <c r="AG33" i="1"/>
  <c r="AC46" i="1"/>
  <c r="BF46" i="1" s="1"/>
  <c r="AD46" i="1"/>
  <c r="AE46" i="1"/>
  <c r="AG46" i="1"/>
  <c r="AC27" i="1"/>
  <c r="BF27" i="1" s="1"/>
  <c r="AD27" i="1"/>
  <c r="AE27" i="1"/>
  <c r="AG27" i="1"/>
  <c r="AC26" i="1"/>
  <c r="BF26" i="1" s="1"/>
  <c r="AD26" i="1"/>
  <c r="AE26" i="1"/>
  <c r="AG26" i="1"/>
  <c r="AC28" i="1"/>
  <c r="BF28" i="1" s="1"/>
  <c r="AD28" i="1"/>
  <c r="AE28" i="1"/>
  <c r="AG28" i="1"/>
  <c r="AC29" i="1"/>
  <c r="BF29" i="1" s="1"/>
  <c r="AD29" i="1"/>
  <c r="AE29" i="1"/>
  <c r="AG29" i="1"/>
  <c r="AC39" i="1"/>
  <c r="BF39" i="1" s="1"/>
  <c r="AD39" i="1"/>
  <c r="AE39" i="1"/>
  <c r="AG39" i="1"/>
  <c r="AD42" i="1"/>
  <c r="AE42" i="1"/>
  <c r="AG42" i="1"/>
  <c r="AD31" i="1"/>
  <c r="AE31" i="1"/>
  <c r="AG31" i="1"/>
  <c r="AD41" i="1"/>
  <c r="AE41" i="1"/>
  <c r="AG41" i="1"/>
  <c r="AD40" i="1"/>
  <c r="AE40" i="1"/>
  <c r="AG40" i="1"/>
  <c r="AD59" i="1"/>
  <c r="AE59" i="1"/>
  <c r="AG59" i="1"/>
  <c r="AD45" i="1"/>
  <c r="AE45" i="1"/>
  <c r="AG45" i="1"/>
  <c r="AD44" i="1"/>
  <c r="AE44" i="1"/>
  <c r="AG44" i="1"/>
  <c r="AD48" i="1"/>
  <c r="AE48" i="1"/>
  <c r="AG48" i="1"/>
  <c r="AD47" i="1"/>
  <c r="AE47" i="1"/>
  <c r="AG47" i="1"/>
  <c r="AD51" i="1"/>
  <c r="AE51" i="1"/>
  <c r="AG51" i="1"/>
  <c r="AD53" i="1"/>
  <c r="AE53" i="1"/>
  <c r="AG53" i="1"/>
  <c r="AD55" i="1"/>
  <c r="AE55" i="1"/>
  <c r="AG55" i="1"/>
  <c r="AD71" i="1"/>
  <c r="AE71" i="1"/>
  <c r="AG71" i="1"/>
  <c r="AD66" i="1"/>
  <c r="AE66" i="1"/>
  <c r="AG66" i="1"/>
  <c r="AD68" i="1"/>
  <c r="AE68" i="1"/>
  <c r="AG68" i="1"/>
  <c r="AD70" i="1"/>
  <c r="AE70" i="1"/>
  <c r="AG70" i="1"/>
  <c r="AC74" i="1"/>
  <c r="BF74" i="1" s="1"/>
  <c r="AD74" i="1"/>
  <c r="AE74" i="1"/>
  <c r="AG74" i="1"/>
  <c r="AC73" i="1"/>
  <c r="BF73" i="1" s="1"/>
  <c r="AD73" i="1"/>
  <c r="AE73" i="1"/>
  <c r="AG73" i="1"/>
  <c r="AC32" i="1"/>
  <c r="BF32" i="1" s="1"/>
  <c r="AD32" i="1"/>
  <c r="AE32" i="1"/>
  <c r="AG32" i="1"/>
  <c r="AC34" i="1"/>
  <c r="BF34" i="1" s="1"/>
  <c r="AD34" i="1"/>
  <c r="AE34" i="1"/>
  <c r="AG34" i="1"/>
  <c r="AC52" i="1"/>
  <c r="BF52" i="1" s="1"/>
  <c r="AD52" i="1"/>
  <c r="AE52" i="1"/>
  <c r="AG52" i="1"/>
  <c r="AC65" i="1"/>
  <c r="BF65" i="1" s="1"/>
  <c r="AD65" i="1"/>
  <c r="AE65" i="1"/>
  <c r="AG65" i="1"/>
  <c r="AC67" i="1"/>
  <c r="BF67" i="1" s="1"/>
  <c r="AD67" i="1"/>
  <c r="AE67" i="1"/>
  <c r="AG67" i="1"/>
  <c r="AC69" i="1"/>
  <c r="BF69" i="1" s="1"/>
  <c r="AD69" i="1"/>
  <c r="AE69" i="1"/>
  <c r="AG69" i="1"/>
  <c r="AC22" i="1"/>
  <c r="BF22" i="1" s="1"/>
  <c r="AD22" i="1"/>
  <c r="AE22" i="1"/>
  <c r="AG22" i="1"/>
  <c r="AC17" i="1"/>
  <c r="BF17" i="1" s="1"/>
  <c r="AD17" i="1"/>
  <c r="AE17" i="1"/>
  <c r="AG17" i="1"/>
  <c r="AC54" i="1"/>
  <c r="BF54" i="1" s="1"/>
  <c r="AD54" i="1"/>
  <c r="AE54" i="1"/>
  <c r="AG54" i="1"/>
  <c r="AC35" i="1"/>
  <c r="BF35" i="1" s="1"/>
  <c r="AD35" i="1"/>
  <c r="AE35" i="1"/>
  <c r="AG35" i="1"/>
  <c r="AC72" i="1"/>
  <c r="BF72" i="1" s="1"/>
  <c r="AD72" i="1"/>
  <c r="AE72" i="1"/>
  <c r="AG72" i="1"/>
  <c r="AC12" i="1"/>
  <c r="BF12" i="1" s="1"/>
  <c r="AD12" i="1"/>
  <c r="AE12" i="1"/>
  <c r="AG12" i="1"/>
  <c r="AC7" i="1"/>
  <c r="BF7" i="1" s="1"/>
  <c r="AD7" i="1"/>
  <c r="AE7" i="1"/>
  <c r="AG7" i="1"/>
  <c r="AC38" i="1"/>
  <c r="BF38" i="1" s="1"/>
  <c r="AD38" i="1"/>
  <c r="AE38" i="1"/>
  <c r="AG38" i="1"/>
  <c r="AC61" i="1"/>
  <c r="BF61" i="1" s="1"/>
  <c r="AD61" i="1"/>
  <c r="AE61" i="1"/>
  <c r="AG61" i="1"/>
  <c r="AC19" i="1"/>
  <c r="BF19" i="1" s="1"/>
  <c r="AD19" i="1"/>
  <c r="AE19" i="1"/>
  <c r="AG19" i="1"/>
  <c r="AC62" i="1"/>
  <c r="BF62" i="1" s="1"/>
  <c r="AD62" i="1"/>
  <c r="AE62" i="1"/>
  <c r="AG62" i="1"/>
  <c r="AC8" i="1"/>
  <c r="BF8" i="1" s="1"/>
  <c r="AD8" i="1"/>
  <c r="AE8" i="1"/>
  <c r="AG8" i="1"/>
  <c r="AC58" i="1"/>
  <c r="BF58" i="1" s="1"/>
  <c r="AD58" i="1"/>
  <c r="AE58" i="1"/>
  <c r="AG58" i="1"/>
  <c r="AC63" i="1"/>
  <c r="BF63" i="1" s="1"/>
  <c r="AD63" i="1"/>
  <c r="AE63" i="1"/>
  <c r="AG63" i="1"/>
  <c r="AC60" i="1"/>
  <c r="BF60" i="1" s="1"/>
  <c r="AD60" i="1"/>
  <c r="AE60" i="1"/>
  <c r="AG60" i="1"/>
  <c r="AC56" i="1"/>
  <c r="BF56" i="1" s="1"/>
  <c r="AD56" i="1"/>
  <c r="AE56" i="1"/>
  <c r="AG56" i="1"/>
  <c r="AC16" i="1"/>
  <c r="BF16" i="1" s="1"/>
  <c r="AD16" i="1"/>
  <c r="AE16" i="1"/>
  <c r="AG16" i="1"/>
  <c r="AC87" i="1"/>
  <c r="AD87" i="1"/>
  <c r="AE87" i="1"/>
  <c r="AG87" i="1"/>
  <c r="AC79" i="1"/>
  <c r="AD79" i="1"/>
  <c r="AE79" i="1"/>
  <c r="AG79" i="1"/>
  <c r="AC93" i="1"/>
  <c r="AD93" i="1"/>
  <c r="AE93" i="1"/>
  <c r="AG93" i="1"/>
  <c r="AC86" i="1"/>
  <c r="AD86" i="1"/>
  <c r="AE86" i="1"/>
  <c r="AG86" i="1"/>
  <c r="AC90" i="1"/>
  <c r="AD90" i="1"/>
  <c r="AE90" i="1"/>
  <c r="AG90" i="1"/>
  <c r="AC82" i="1"/>
  <c r="AD82" i="1"/>
  <c r="AE82" i="1"/>
  <c r="AG82" i="1"/>
  <c r="AC77" i="1"/>
  <c r="AD77" i="1"/>
  <c r="AE77" i="1"/>
  <c r="AG77" i="1"/>
  <c r="AC75" i="1"/>
  <c r="AD75" i="1"/>
  <c r="AE75" i="1"/>
  <c r="AG75" i="1"/>
  <c r="AC49" i="1"/>
  <c r="BF49" i="1" s="1"/>
  <c r="AD49" i="1"/>
  <c r="AE49" i="1"/>
  <c r="AG49" i="1"/>
  <c r="AC50" i="1"/>
  <c r="BF50" i="1" s="1"/>
  <c r="AD50" i="1"/>
  <c r="AE50" i="1"/>
  <c r="AG50" i="1"/>
  <c r="AC25" i="1"/>
  <c r="BF25" i="1" s="1"/>
  <c r="AD25" i="1"/>
  <c r="AE25" i="1"/>
  <c r="AG25" i="1"/>
  <c r="AC24" i="1"/>
  <c r="BF24" i="1" s="1"/>
  <c r="AD24" i="1"/>
  <c r="AE24" i="1"/>
  <c r="AG24" i="1"/>
  <c r="AC36" i="1"/>
  <c r="BF36" i="1" s="1"/>
  <c r="AD36" i="1"/>
  <c r="AE36" i="1"/>
  <c r="AG36" i="1"/>
  <c r="AC37" i="1"/>
  <c r="BF37" i="1" s="1"/>
  <c r="AD37" i="1"/>
  <c r="AE37" i="1"/>
  <c r="AG37" i="1"/>
  <c r="AC11" i="1"/>
  <c r="BF11" i="1" s="1"/>
  <c r="AD11" i="1"/>
  <c r="AE11" i="1"/>
  <c r="AG11" i="1"/>
  <c r="AC57" i="1"/>
  <c r="BF57" i="1" s="1"/>
  <c r="AD57" i="1"/>
  <c r="AE57" i="1"/>
  <c r="AG57" i="1"/>
  <c r="AC30" i="1"/>
  <c r="BF30" i="1" s="1"/>
  <c r="AD30" i="1"/>
  <c r="AE30" i="1"/>
  <c r="AG30" i="1"/>
  <c r="AC78" i="1"/>
  <c r="AD78" i="1"/>
  <c r="AE78" i="1"/>
  <c r="AF78" i="1"/>
  <c r="AG78" i="1"/>
  <c r="AC81" i="1"/>
  <c r="AD81" i="1"/>
  <c r="AE81" i="1"/>
  <c r="AF81" i="1"/>
  <c r="AG81" i="1"/>
  <c r="AC96" i="1"/>
  <c r="AD96" i="1"/>
  <c r="AE96" i="1"/>
  <c r="AF96" i="1"/>
  <c r="AG96" i="1"/>
  <c r="AC88" i="1"/>
  <c r="AD88" i="1"/>
  <c r="AE88" i="1"/>
  <c r="AF88" i="1"/>
  <c r="AG88" i="1"/>
  <c r="AC95" i="1"/>
  <c r="AD95" i="1"/>
  <c r="AE95" i="1"/>
  <c r="AF95" i="1"/>
  <c r="AG95" i="1"/>
  <c r="AC84" i="1"/>
  <c r="AD84" i="1"/>
  <c r="AE84" i="1"/>
  <c r="AF84" i="1"/>
  <c r="AG84" i="1"/>
  <c r="AC89" i="1"/>
  <c r="AD89" i="1"/>
  <c r="AE89" i="1"/>
  <c r="AF89" i="1"/>
  <c r="AG89" i="1"/>
  <c r="AC83" i="1"/>
  <c r="AD83" i="1"/>
  <c r="AE83" i="1"/>
  <c r="AF83" i="1"/>
  <c r="AG83" i="1"/>
  <c r="AC92" i="1"/>
  <c r="AD92" i="1"/>
  <c r="AE92" i="1"/>
  <c r="AF92" i="1"/>
  <c r="AG92" i="1"/>
  <c r="AC85" i="1"/>
  <c r="AD85" i="1"/>
  <c r="AE85" i="1"/>
  <c r="AF85" i="1"/>
  <c r="AG85" i="1"/>
  <c r="AC91" i="1"/>
  <c r="AD91" i="1"/>
  <c r="AE91" i="1"/>
  <c r="AF91" i="1"/>
  <c r="AG91" i="1"/>
  <c r="AC80" i="1"/>
  <c r="AD80" i="1"/>
  <c r="AE80" i="1"/>
  <c r="AF80" i="1"/>
  <c r="AG80" i="1"/>
  <c r="AC76" i="1"/>
  <c r="AD76" i="1"/>
  <c r="AE76" i="1"/>
  <c r="AF76" i="1"/>
  <c r="AG76" i="1"/>
  <c r="AC94" i="1"/>
  <c r="AD94" i="1"/>
  <c r="AE94" i="1"/>
  <c r="AF94" i="1"/>
  <c r="AG94" i="1"/>
  <c r="AC6" i="1"/>
  <c r="BF6" i="1" s="1"/>
  <c r="AD6" i="1"/>
  <c r="AE6" i="1"/>
  <c r="AF6" i="1"/>
  <c r="AG6" i="1"/>
  <c r="BF91" i="1" l="1"/>
  <c r="BF96" i="1"/>
  <c r="BF83" i="1"/>
  <c r="BF84" i="1"/>
  <c r="BF82" i="1"/>
  <c r="BF81" i="1"/>
  <c r="BF86" i="1"/>
  <c r="BF79" i="1"/>
  <c r="BF78" i="1"/>
  <c r="BF75" i="1"/>
  <c r="BF88" i="1"/>
  <c r="BF89" i="1"/>
  <c r="BF94" i="1"/>
  <c r="BF92" i="1"/>
  <c r="BF80" i="1"/>
  <c r="BF85" i="1"/>
  <c r="BF76" i="1"/>
  <c r="BF95" i="1"/>
  <c r="BF77" i="1"/>
  <c r="BF90" i="1"/>
  <c r="BF93" i="1"/>
  <c r="BF87" i="1"/>
  <c r="BE98" i="1"/>
  <c r="BD98" i="1"/>
  <c r="BC98" i="1"/>
  <c r="AZ98" i="1"/>
  <c r="AS98" i="1"/>
  <c r="AR98" i="1"/>
  <c r="AQ98" i="1"/>
  <c r="AP98" i="1"/>
  <c r="AO98" i="1"/>
  <c r="AN98" i="1"/>
  <c r="AG98" i="1"/>
  <c r="AE98" i="1"/>
  <c r="AD98" i="1"/>
  <c r="V98" i="1"/>
  <c r="U98" i="1"/>
  <c r="T98" i="1"/>
  <c r="S98" i="1"/>
  <c r="R98" i="1"/>
  <c r="Q98" i="1"/>
  <c r="J98" i="1"/>
  <c r="D98" i="1"/>
  <c r="CK98" i="1"/>
  <c r="B4" i="2" l="1"/>
  <c r="E74" i="2" l="1"/>
  <c r="E75" i="2"/>
  <c r="E73" i="2"/>
  <c r="E68" i="2"/>
  <c r="E72" i="2"/>
  <c r="E71" i="2"/>
  <c r="E77" i="2"/>
  <c r="E69" i="2"/>
  <c r="E70" i="2"/>
  <c r="E60" i="2"/>
  <c r="E61" i="2"/>
  <c r="E62" i="2"/>
  <c r="E67" i="2"/>
  <c r="E63" i="2"/>
  <c r="E38" i="2"/>
  <c r="D24" i="2"/>
  <c r="D7" i="2"/>
  <c r="E37" i="2"/>
  <c r="D23" i="2"/>
  <c r="E36" i="2"/>
  <c r="D22" i="2"/>
  <c r="D9" i="2"/>
  <c r="D25" i="2"/>
  <c r="E53" i="2"/>
  <c r="D53" i="2" s="1"/>
  <c r="E35" i="2"/>
  <c r="D21" i="2"/>
  <c r="D31" i="2"/>
  <c r="D20" i="2"/>
  <c r="E46" i="2"/>
  <c r="D29" i="2"/>
  <c r="D13" i="2"/>
  <c r="D27" i="2"/>
  <c r="E39" i="2"/>
  <c r="D8" i="2"/>
  <c r="C29" i="2"/>
  <c r="C28" i="2"/>
  <c r="C25" i="2"/>
  <c r="C24" i="2"/>
  <c r="C23" i="2"/>
  <c r="C22" i="2"/>
  <c r="C21" i="2"/>
  <c r="C20" i="2"/>
  <c r="C19" i="2"/>
  <c r="C18" i="2"/>
  <c r="C16" i="2"/>
  <c r="C15" i="2"/>
  <c r="C14" i="2"/>
  <c r="C27" i="2"/>
  <c r="C26" i="2"/>
  <c r="C31" i="2" l="1"/>
  <c r="C30" i="2"/>
  <c r="C7" i="2"/>
  <c r="C12" i="2"/>
  <c r="E34" i="2"/>
  <c r="C13" i="2" l="1"/>
  <c r="C8" i="2"/>
  <c r="C9" i="2" l="1"/>
  <c r="E24" i="2" l="1"/>
  <c r="E22" i="2"/>
  <c r="E8" i="2"/>
  <c r="E25" i="2"/>
  <c r="E20" i="2"/>
  <c r="E13" i="2"/>
  <c r="E9" i="2"/>
  <c r="E23" i="2"/>
  <c r="E21" i="2"/>
  <c r="D10" i="2" l="1"/>
  <c r="E7" i="2"/>
  <c r="E10" i="2" s="1"/>
  <c r="BA98" i="1" l="1"/>
  <c r="AY75" i="1"/>
  <c r="AU17" i="1"/>
  <c r="AY19" i="1"/>
  <c r="AU32" i="1"/>
  <c r="AY33" i="1"/>
  <c r="AY40" i="1"/>
  <c r="AU24" i="1"/>
  <c r="AY47" i="1"/>
  <c r="AY16" i="1"/>
  <c r="AU60" i="1"/>
  <c r="AU22" i="1"/>
  <c r="AU51" i="1"/>
  <c r="AX15" i="1"/>
  <c r="AY26" i="1"/>
  <c r="AY79" i="1"/>
  <c r="AX80" i="1"/>
  <c r="AU25" i="1"/>
  <c r="AY22" i="1"/>
  <c r="AU90" i="1"/>
  <c r="AU55" i="1"/>
  <c r="AY71" i="1"/>
  <c r="AY62" i="1"/>
  <c r="AY39" i="1"/>
  <c r="AY53" i="1"/>
  <c r="AT80" i="1"/>
  <c r="AU63" i="1"/>
  <c r="AT83" i="1"/>
  <c r="AU42" i="1"/>
  <c r="AU71" i="1"/>
  <c r="AT94" i="1"/>
  <c r="AY83" i="1"/>
  <c r="AX96" i="1"/>
  <c r="AY37" i="1"/>
  <c r="AY51" i="1"/>
  <c r="AY89" i="1"/>
  <c r="AU91" i="1"/>
  <c r="AY87" i="1"/>
  <c r="AY44" i="1"/>
  <c r="AX20" i="1"/>
  <c r="AY8" i="1"/>
  <c r="AY46" i="1"/>
  <c r="AU76" i="1"/>
  <c r="AU88" i="1"/>
  <c r="AY31" i="1"/>
  <c r="AY63" i="1"/>
  <c r="AU45" i="1"/>
  <c r="AU81" i="1"/>
  <c r="AY21" i="1"/>
  <c r="AY58" i="1"/>
  <c r="AU12" i="1"/>
  <c r="AU85" i="1"/>
  <c r="AU79" i="1"/>
  <c r="AU94" i="1"/>
  <c r="AY61" i="1"/>
  <c r="AY92" i="1"/>
  <c r="AU7" i="1"/>
  <c r="AU70" i="1"/>
  <c r="AU48" i="1"/>
  <c r="AX41" i="1"/>
  <c r="AY90" i="1"/>
  <c r="AY85" i="1"/>
  <c r="AU80" i="1"/>
  <c r="AY41" i="1"/>
  <c r="AU83" i="1"/>
  <c r="AX95" i="1"/>
  <c r="AY93" i="1"/>
  <c r="AX92" i="1"/>
  <c r="AU21" i="1"/>
  <c r="AX43" i="1"/>
  <c r="AY84" i="1"/>
  <c r="AU56" i="1"/>
  <c r="AU40" i="1"/>
  <c r="AU92" i="1"/>
  <c r="AX84" i="1"/>
  <c r="AU38" i="1"/>
  <c r="AY38" i="1"/>
  <c r="AU19" i="1"/>
  <c r="AU41" i="1"/>
  <c r="AU93" i="1"/>
  <c r="AY42" i="1"/>
  <c r="AY65" i="1"/>
  <c r="AU65" i="1"/>
  <c r="AX27" i="1"/>
  <c r="AY10" i="1"/>
  <c r="AU52" i="1"/>
  <c r="AU10" i="1"/>
  <c r="AX94" i="1"/>
  <c r="AY20" i="1"/>
  <c r="AY11" i="1"/>
  <c r="AY95" i="1"/>
  <c r="AU62" i="1"/>
  <c r="AY7" i="1"/>
  <c r="AY76" i="1"/>
  <c r="AY25" i="1"/>
  <c r="AY17" i="1"/>
  <c r="AY68" i="1"/>
  <c r="AU74" i="1"/>
  <c r="AU73" i="1"/>
  <c r="AU96" i="1"/>
  <c r="AX83" i="1"/>
  <c r="AY73" i="1"/>
  <c r="AU46" i="1"/>
  <c r="AY12" i="1"/>
  <c r="AT89" i="1"/>
  <c r="AU57" i="1"/>
  <c r="AY45" i="1"/>
  <c r="AU33" i="1"/>
  <c r="AY27" i="1"/>
  <c r="AY54" i="1"/>
  <c r="AY34" i="1"/>
  <c r="AY24" i="1"/>
  <c r="AU68" i="1"/>
  <c r="AX26" i="1"/>
  <c r="AY55" i="1"/>
  <c r="AX76" i="1"/>
  <c r="AY70" i="1"/>
  <c r="AY23" i="1"/>
  <c r="AY78" i="1"/>
  <c r="AX28" i="1"/>
  <c r="AU11" i="1"/>
  <c r="AX91" i="1"/>
  <c r="AU95" i="1"/>
  <c r="AX10" i="1"/>
  <c r="AT95" i="1"/>
  <c r="AU23" i="1"/>
  <c r="AY57" i="1"/>
  <c r="AU31" i="1"/>
  <c r="AX21" i="1"/>
  <c r="AY86" i="1"/>
  <c r="AX81" i="1"/>
  <c r="AU50" i="1"/>
  <c r="AU72" i="1"/>
  <c r="AT81" i="1"/>
  <c r="AY36" i="1"/>
  <c r="AU89" i="1"/>
  <c r="AU54" i="1"/>
  <c r="AX23" i="1"/>
  <c r="AY77" i="1"/>
  <c r="AU66" i="1"/>
  <c r="AU61" i="1"/>
  <c r="AY66" i="1"/>
  <c r="AX39" i="1"/>
  <c r="AT85" i="1"/>
  <c r="AU49" i="1"/>
  <c r="AX89" i="1"/>
  <c r="AU86" i="1"/>
  <c r="AU75" i="1"/>
  <c r="AU47" i="1"/>
  <c r="AU29" i="1"/>
  <c r="AT88" i="1"/>
  <c r="AU77" i="1"/>
  <c r="AX31" i="1"/>
  <c r="AY88" i="1"/>
  <c r="AY94" i="1"/>
  <c r="AX33" i="1"/>
  <c r="AU36" i="1"/>
  <c r="AY81" i="1"/>
  <c r="AY28" i="1"/>
  <c r="AU37" i="1"/>
  <c r="AU8" i="1"/>
  <c r="AU78" i="1"/>
  <c r="AY60" i="1"/>
  <c r="AU26" i="1"/>
  <c r="AU35" i="1"/>
  <c r="AU53" i="1"/>
  <c r="AY35" i="1"/>
  <c r="AU84" i="1"/>
  <c r="AU34" i="1"/>
  <c r="AU28" i="1"/>
  <c r="AU16" i="1"/>
  <c r="AY50" i="1"/>
  <c r="AY29" i="1"/>
  <c r="AY48" i="1"/>
  <c r="AY59" i="1"/>
  <c r="AU87" i="1"/>
  <c r="AY43" i="1"/>
  <c r="AT84" i="1"/>
  <c r="AY96" i="1"/>
  <c r="AU39" i="1"/>
  <c r="AY15" i="1"/>
  <c r="AT96" i="1"/>
  <c r="AU43" i="1"/>
  <c r="AT78" i="1"/>
  <c r="AY80" i="1"/>
  <c r="AU69" i="1"/>
  <c r="AY74" i="1"/>
  <c r="AT92" i="1"/>
  <c r="AY67" i="1"/>
  <c r="AU59" i="1"/>
  <c r="AU30" i="1"/>
  <c r="AU44" i="1"/>
  <c r="AY56" i="1"/>
  <c r="AT91" i="1"/>
  <c r="AY49" i="1"/>
  <c r="AY52" i="1"/>
  <c r="AX42" i="1"/>
  <c r="AT76" i="1"/>
  <c r="AX40" i="1"/>
  <c r="AY30" i="1"/>
  <c r="AY32" i="1"/>
  <c r="AU58" i="1"/>
  <c r="AX88" i="1"/>
  <c r="AX29" i="1"/>
  <c r="AX78" i="1"/>
  <c r="AY91" i="1"/>
  <c r="AY72" i="1"/>
  <c r="AU15" i="1"/>
  <c r="AX85" i="1"/>
  <c r="AX46" i="1"/>
  <c r="AU27" i="1"/>
  <c r="AU67" i="1"/>
  <c r="AU20" i="1"/>
  <c r="AY69" i="1"/>
  <c r="AX9" i="1"/>
  <c r="AX64" i="1"/>
  <c r="AX13" i="1"/>
  <c r="AU64" i="1"/>
  <c r="AX14" i="1"/>
  <c r="AU13" i="1"/>
  <c r="AY13" i="1"/>
  <c r="AU9" i="1"/>
  <c r="AY9" i="1"/>
  <c r="AY64" i="1"/>
  <c r="AU14" i="1"/>
  <c r="AY14" i="1"/>
  <c r="BB98" i="1"/>
  <c r="AX18" i="1"/>
  <c r="AY18" i="1"/>
  <c r="AU18" i="1"/>
  <c r="BH98" i="1" l="1"/>
  <c r="E40" i="2"/>
  <c r="AY82" i="1"/>
  <c r="E31" i="2"/>
  <c r="AU82" i="1"/>
  <c r="E27" i="2"/>
  <c r="AY6" i="1"/>
  <c r="AB98" i="1"/>
  <c r="AX6" i="1"/>
  <c r="AU6" i="1"/>
  <c r="X98" i="1"/>
  <c r="BS98" i="1"/>
  <c r="AU98" i="1" l="1"/>
  <c r="AY98" i="1"/>
  <c r="AW9" i="1" l="1"/>
  <c r="AW64" i="1"/>
  <c r="AW13" i="1"/>
  <c r="AW14" i="1"/>
  <c r="AW18" i="1"/>
  <c r="AW21" i="1"/>
  <c r="AW20" i="1"/>
  <c r="AW23" i="1"/>
  <c r="AW27" i="1"/>
  <c r="AW26" i="1"/>
  <c r="AW28" i="1"/>
  <c r="AW29" i="1"/>
  <c r="AW31" i="1"/>
  <c r="AW41" i="1"/>
  <c r="AW40" i="1"/>
  <c r="AW45" i="1"/>
  <c r="AW44" i="1"/>
  <c r="AW47" i="1"/>
  <c r="AW48" i="1"/>
  <c r="AW68" i="1"/>
  <c r="AW70" i="1"/>
  <c r="AW74" i="1"/>
  <c r="AW73" i="1"/>
  <c r="AW32" i="1"/>
  <c r="AW34" i="1"/>
  <c r="AW52" i="1"/>
  <c r="AW65" i="1"/>
  <c r="AW67" i="1"/>
  <c r="AW69" i="1"/>
  <c r="AW22" i="1"/>
  <c r="AW54" i="1"/>
  <c r="AW12" i="1"/>
  <c r="AW7" i="1"/>
  <c r="AW38" i="1"/>
  <c r="AW19" i="1"/>
  <c r="AW62" i="1"/>
  <c r="AW8" i="1"/>
  <c r="AW58" i="1"/>
  <c r="AW63" i="1"/>
  <c r="AW60" i="1"/>
  <c r="AW56" i="1"/>
  <c r="AW49" i="1"/>
  <c r="AW50" i="1"/>
  <c r="AW25" i="1"/>
  <c r="AW24" i="1"/>
  <c r="AW36" i="1"/>
  <c r="AW37" i="1"/>
  <c r="AW57" i="1"/>
  <c r="AW30" i="1"/>
  <c r="AW85" i="1"/>
  <c r="AW80" i="1"/>
  <c r="AW10" i="1"/>
  <c r="AW15" i="1"/>
  <c r="AW43" i="1"/>
  <c r="AW33" i="1"/>
  <c r="AW39" i="1"/>
  <c r="AW46" i="1"/>
  <c r="AW42" i="1"/>
  <c r="AW59" i="1"/>
  <c r="AW51" i="1"/>
  <c r="AW53" i="1"/>
  <c r="AW55" i="1"/>
  <c r="AW71" i="1"/>
  <c r="AW66" i="1"/>
  <c r="AW17" i="1"/>
  <c r="AW35" i="1"/>
  <c r="AW72" i="1"/>
  <c r="AW61" i="1"/>
  <c r="AW16" i="1"/>
  <c r="AW11" i="1"/>
  <c r="AW87" i="1"/>
  <c r="AW79" i="1"/>
  <c r="AW93" i="1"/>
  <c r="AW86" i="1"/>
  <c r="AW90" i="1"/>
  <c r="AW77" i="1"/>
  <c r="AW78" i="1"/>
  <c r="AW81" i="1"/>
  <c r="AW96" i="1"/>
  <c r="AW88" i="1"/>
  <c r="AW95" i="1"/>
  <c r="AW84" i="1"/>
  <c r="AW89" i="1"/>
  <c r="AW83" i="1"/>
  <c r="AW92" i="1"/>
  <c r="AW91" i="1"/>
  <c r="AW76" i="1"/>
  <c r="AW94" i="1"/>
  <c r="AW75" i="1"/>
  <c r="AV85" i="1"/>
  <c r="BG85" i="1" s="1"/>
  <c r="AV80" i="1"/>
  <c r="BG80" i="1" s="1"/>
  <c r="AV78" i="1"/>
  <c r="AV81" i="1"/>
  <c r="AV96" i="1"/>
  <c r="AV88" i="1"/>
  <c r="AV95" i="1"/>
  <c r="AV84" i="1"/>
  <c r="AV89" i="1"/>
  <c r="AV83" i="1"/>
  <c r="AV92" i="1"/>
  <c r="AV91" i="1"/>
  <c r="AV76" i="1"/>
  <c r="AV94" i="1"/>
  <c r="BG95" i="1" l="1"/>
  <c r="BG94" i="1"/>
  <c r="BG88" i="1"/>
  <c r="BG76" i="1"/>
  <c r="BG91" i="1"/>
  <c r="BG92" i="1"/>
  <c r="BG83" i="1"/>
  <c r="BG81" i="1"/>
  <c r="BG78" i="1"/>
  <c r="BG89" i="1"/>
  <c r="BG84" i="1"/>
  <c r="AW6" i="1"/>
  <c r="Z98" i="1"/>
  <c r="BI94" i="1"/>
  <c r="BI88" i="1"/>
  <c r="BI85" i="1"/>
  <c r="BI80" i="1"/>
  <c r="BI76" i="1"/>
  <c r="BI96" i="1"/>
  <c r="BG96" i="1"/>
  <c r="BI91" i="1"/>
  <c r="BI81" i="1"/>
  <c r="BI92" i="1"/>
  <c r="BI78" i="1"/>
  <c r="BI95" i="1"/>
  <c r="BI83" i="1"/>
  <c r="BI89" i="1"/>
  <c r="BI84" i="1"/>
  <c r="AW82" i="1"/>
  <c r="E29" i="2"/>
  <c r="AW98" i="1" l="1"/>
  <c r="AX65" i="1" l="1"/>
  <c r="AX22" i="1"/>
  <c r="AX79" i="1"/>
  <c r="AX90" i="1"/>
  <c r="AX36" i="1"/>
  <c r="AX25" i="1"/>
  <c r="AX61" i="1"/>
  <c r="AX58" i="1"/>
  <c r="AX87" i="1"/>
  <c r="AX69" i="1"/>
  <c r="AX8" i="1"/>
  <c r="AX17" i="1"/>
  <c r="AX7" i="1"/>
  <c r="AX73" i="1"/>
  <c r="AX93" i="1"/>
  <c r="AX66" i="1"/>
  <c r="AX24" i="1"/>
  <c r="AX50" i="1"/>
  <c r="AX57" i="1"/>
  <c r="AX72" i="1"/>
  <c r="AX19" i="1"/>
  <c r="AX32" i="1"/>
  <c r="AX60" i="1"/>
  <c r="AX52" i="1"/>
  <c r="AX56" i="1"/>
  <c r="AX71" i="1"/>
  <c r="AX16" i="1"/>
  <c r="AX54" i="1"/>
  <c r="AX63" i="1"/>
  <c r="AX62" i="1"/>
  <c r="AX12" i="1"/>
  <c r="AX49" i="1"/>
  <c r="AX30" i="1"/>
  <c r="AX67" i="1"/>
  <c r="AX37" i="1"/>
  <c r="AX77" i="1"/>
  <c r="AX82" i="1"/>
  <c r="AX51" i="1"/>
  <c r="AX34" i="1"/>
  <c r="AX38" i="1"/>
  <c r="AX11" i="1"/>
  <c r="AX35" i="1"/>
  <c r="AX68" i="1"/>
  <c r="AX70" i="1"/>
  <c r="AX86" i="1"/>
  <c r="AX75" i="1"/>
  <c r="AX74" i="1"/>
  <c r="AT62" i="1"/>
  <c r="AT87" i="1"/>
  <c r="AT70" i="1"/>
  <c r="AT8" i="1"/>
  <c r="AT16" i="1"/>
  <c r="AT36" i="1"/>
  <c r="AT74" i="1"/>
  <c r="AT50" i="1"/>
  <c r="AT34" i="1"/>
  <c r="AT19" i="1"/>
  <c r="AT38" i="1"/>
  <c r="AT32" i="1"/>
  <c r="AT79" i="1"/>
  <c r="AT71" i="1"/>
  <c r="AT75" i="1"/>
  <c r="AT65" i="1"/>
  <c r="AT73" i="1"/>
  <c r="AT53" i="1"/>
  <c r="AT35" i="1"/>
  <c r="AT37" i="1"/>
  <c r="AT58" i="1"/>
  <c r="AT93" i="1"/>
  <c r="AT90" i="1"/>
  <c r="AT51" i="1"/>
  <c r="AT11" i="1"/>
  <c r="AT57" i="1"/>
  <c r="AT30" i="1"/>
  <c r="AT7" i="1"/>
  <c r="AT66" i="1"/>
  <c r="AT67" i="1"/>
  <c r="AT63" i="1"/>
  <c r="AT69" i="1"/>
  <c r="AT52" i="1"/>
  <c r="AT56" i="1"/>
  <c r="AT61" i="1"/>
  <c r="AT82" i="1"/>
  <c r="AT22" i="1"/>
  <c r="AT72" i="1"/>
  <c r="AT49" i="1"/>
  <c r="AT54" i="1"/>
  <c r="AT68" i="1"/>
  <c r="AT86" i="1"/>
  <c r="AT60" i="1"/>
  <c r="AT24" i="1"/>
  <c r="AT77" i="1"/>
  <c r="AT12" i="1"/>
  <c r="AT55" i="1"/>
  <c r="AT25" i="1"/>
  <c r="AT17" i="1"/>
  <c r="AI73" i="1"/>
  <c r="AL22" i="1"/>
  <c r="AJ34" i="1"/>
  <c r="AK36" i="1"/>
  <c r="AI65" i="1"/>
  <c r="AI25" i="1"/>
  <c r="AH71" i="1"/>
  <c r="AI49" i="1"/>
  <c r="AK24" i="1"/>
  <c r="AM50" i="1"/>
  <c r="AH67" i="1"/>
  <c r="AM44" i="1"/>
  <c r="AJ65" i="1"/>
  <c r="AM67" i="1"/>
  <c r="AI8" i="1"/>
  <c r="AJ22" i="1"/>
  <c r="AL75" i="1"/>
  <c r="AI77" i="1"/>
  <c r="AI86" i="1"/>
  <c r="AI63" i="1"/>
  <c r="AM79" i="1"/>
  <c r="AH73" i="1"/>
  <c r="AJ37" i="1"/>
  <c r="AM56" i="1"/>
  <c r="AH30" i="1"/>
  <c r="AJ11" i="1"/>
  <c r="AH34" i="1"/>
  <c r="AM93" i="1"/>
  <c r="AL52" i="1"/>
  <c r="AL11" i="1"/>
  <c r="AK93" i="1"/>
  <c r="AI69" i="1"/>
  <c r="AH35" i="1"/>
  <c r="AJ12" i="1"/>
  <c r="AK73" i="1"/>
  <c r="AL19" i="1"/>
  <c r="AI90" i="1"/>
  <c r="AI32" i="1"/>
  <c r="AM54" i="1"/>
  <c r="AM82" i="1"/>
  <c r="AL62" i="1"/>
  <c r="AM58" i="1"/>
  <c r="AK67" i="1"/>
  <c r="AL86" i="1"/>
  <c r="AJ8" i="1"/>
  <c r="AL73" i="1"/>
  <c r="AH79" i="1"/>
  <c r="AJ79" i="1"/>
  <c r="AH87" i="1"/>
  <c r="AJ66" i="1"/>
  <c r="AJ19" i="1"/>
  <c r="AH8" i="1"/>
  <c r="AJ75" i="1"/>
  <c r="AI93" i="1"/>
  <c r="AK79" i="1"/>
  <c r="AH17" i="1"/>
  <c r="AK58" i="1"/>
  <c r="AM90" i="1"/>
  <c r="AK90" i="1"/>
  <c r="AH57" i="1"/>
  <c r="AM25" i="1"/>
  <c r="AL72" i="1"/>
  <c r="AH7" i="1"/>
  <c r="AI48" i="1"/>
  <c r="AJ49" i="1"/>
  <c r="AL67" i="1"/>
  <c r="AM19" i="1"/>
  <c r="AJ30" i="1"/>
  <c r="AM75" i="1"/>
  <c r="AI71" i="1"/>
  <c r="AJ50" i="1"/>
  <c r="AJ77" i="1"/>
  <c r="AJ67" i="1"/>
  <c r="AJ82" i="1"/>
  <c r="AL30" i="1"/>
  <c r="AK12" i="1"/>
  <c r="AK71" i="1"/>
  <c r="AL12" i="1"/>
  <c r="AK16" i="1"/>
  <c r="AL93" i="1"/>
  <c r="AL38" i="1"/>
  <c r="AJ7" i="1"/>
  <c r="AJ87" i="1"/>
  <c r="AK35" i="1"/>
  <c r="AM73" i="1"/>
  <c r="AK87" i="1"/>
  <c r="AJ86" i="1"/>
  <c r="AM16" i="1"/>
  <c r="AL56" i="1"/>
  <c r="AL35" i="1"/>
  <c r="AI51" i="1"/>
  <c r="AK52" i="1"/>
  <c r="AJ62" i="1"/>
  <c r="AM57" i="1"/>
  <c r="AI75" i="1"/>
  <c r="AI66" i="1"/>
  <c r="AI24" i="1"/>
  <c r="AI62" i="1"/>
  <c r="AM34" i="1"/>
  <c r="AK32" i="1"/>
  <c r="AM36" i="1"/>
  <c r="AI67" i="1"/>
  <c r="AK57" i="1"/>
  <c r="AK69" i="1"/>
  <c r="AI17" i="1"/>
  <c r="AH60" i="1"/>
  <c r="AM8" i="1"/>
  <c r="AK61" i="1"/>
  <c r="AH25" i="1"/>
  <c r="AH53" i="1"/>
  <c r="AI50" i="1"/>
  <c r="AJ25" i="1"/>
  <c r="AL25" i="1"/>
  <c r="AI7" i="1"/>
  <c r="AK63" i="1"/>
  <c r="AI36" i="1"/>
  <c r="AJ24" i="1"/>
  <c r="AI82" i="1"/>
  <c r="AK22" i="1"/>
  <c r="AM62" i="1"/>
  <c r="AL82" i="1"/>
  <c r="AM47" i="1"/>
  <c r="AJ17" i="1"/>
  <c r="AH75" i="1"/>
  <c r="AI19" i="1"/>
  <c r="AI58" i="1"/>
  <c r="AI22" i="1"/>
  <c r="AM69" i="1"/>
  <c r="AM86" i="1"/>
  <c r="AM11" i="1"/>
  <c r="AM49" i="1"/>
  <c r="AH22" i="1"/>
  <c r="AM87" i="1"/>
  <c r="AH36" i="1"/>
  <c r="AL8" i="1"/>
  <c r="AI54" i="1"/>
  <c r="AI61" i="1"/>
  <c r="AL48" i="1"/>
  <c r="AL63" i="1"/>
  <c r="AH16" i="1"/>
  <c r="AK50" i="1"/>
  <c r="AH19" i="1"/>
  <c r="AH65" i="1"/>
  <c r="AH50" i="1"/>
  <c r="AK17" i="1"/>
  <c r="AK56" i="1"/>
  <c r="AJ57" i="1"/>
  <c r="AH54" i="1"/>
  <c r="AJ54" i="1"/>
  <c r="AK19" i="1"/>
  <c r="AM61" i="1"/>
  <c r="AL32" i="1"/>
  <c r="AM65" i="1"/>
  <c r="AK7" i="1"/>
  <c r="AK86" i="1"/>
  <c r="AK54" i="1"/>
  <c r="AI30" i="1"/>
  <c r="AI45" i="1"/>
  <c r="AM30" i="1"/>
  <c r="AH72" i="1"/>
  <c r="AI38" i="1"/>
  <c r="AH62" i="1"/>
  <c r="AJ93" i="1"/>
  <c r="AI79" i="1"/>
  <c r="AI37" i="1"/>
  <c r="AJ32" i="1"/>
  <c r="AI87" i="1"/>
  <c r="AK60" i="1"/>
  <c r="AH90" i="1"/>
  <c r="AI72" i="1"/>
  <c r="AH51" i="1"/>
  <c r="AL16" i="1"/>
  <c r="AK62" i="1"/>
  <c r="AJ58" i="1"/>
  <c r="AH58" i="1"/>
  <c r="AL58" i="1"/>
  <c r="AH47" i="1"/>
  <c r="AK30" i="1"/>
  <c r="AK25" i="1"/>
  <c r="AL50" i="1"/>
  <c r="AM24" i="1"/>
  <c r="AM17" i="1"/>
  <c r="AL7" i="1"/>
  <c r="AI16" i="1"/>
  <c r="AM77" i="1"/>
  <c r="AL79" i="1"/>
  <c r="AL87" i="1"/>
  <c r="AL65" i="1"/>
  <c r="AK38" i="1"/>
  <c r="AL71" i="1"/>
  <c r="AK8" i="1"/>
  <c r="AL57" i="1"/>
  <c r="AM63" i="1"/>
  <c r="AM22" i="1"/>
  <c r="AJ38" i="1"/>
  <c r="AL36" i="1"/>
  <c r="AH49" i="1"/>
  <c r="AL69" i="1"/>
  <c r="AK65" i="1"/>
  <c r="AI12" i="1"/>
  <c r="AJ69" i="1"/>
  <c r="AH63" i="1"/>
  <c r="AH52" i="1"/>
  <c r="AH37" i="1"/>
  <c r="AJ73" i="1"/>
  <c r="AK82" i="1"/>
  <c r="AJ36" i="1"/>
  <c r="AL17" i="1"/>
  <c r="AK11" i="1"/>
  <c r="AK49" i="1"/>
  <c r="AJ52" i="1"/>
  <c r="AH24" i="1"/>
  <c r="AJ72" i="1"/>
  <c r="AK44" i="1"/>
  <c r="AL37" i="1"/>
  <c r="AM52" i="1"/>
  <c r="AM72" i="1"/>
  <c r="AI34" i="1"/>
  <c r="AK34" i="1"/>
  <c r="AH69" i="1"/>
  <c r="AL55" i="1"/>
  <c r="AJ90" i="1"/>
  <c r="AH56" i="1"/>
  <c r="AM60" i="1"/>
  <c r="AL49" i="1"/>
  <c r="AI11" i="1"/>
  <c r="AI60" i="1"/>
  <c r="AH61" i="1"/>
  <c r="AL90" i="1"/>
  <c r="AK72" i="1"/>
  <c r="AJ63" i="1"/>
  <c r="AL60" i="1"/>
  <c r="AK77" i="1"/>
  <c r="AI35" i="1"/>
  <c r="AM37" i="1"/>
  <c r="AJ61" i="1"/>
  <c r="AI52" i="1"/>
  <c r="AH93" i="1"/>
  <c r="AH77" i="1"/>
  <c r="AM12" i="1"/>
  <c r="AL61" i="1"/>
  <c r="AJ16" i="1"/>
  <c r="AL77" i="1"/>
  <c r="AI57" i="1"/>
  <c r="AH11" i="1"/>
  <c r="AM38" i="1"/>
  <c r="AM55" i="1"/>
  <c r="AJ68" i="1"/>
  <c r="AM35" i="1"/>
  <c r="AK37" i="1"/>
  <c r="AK75" i="1"/>
  <c r="AH82" i="1"/>
  <c r="AI56" i="1"/>
  <c r="AH32" i="1"/>
  <c r="AJ56" i="1"/>
  <c r="AJ35" i="1"/>
  <c r="AH86" i="1"/>
  <c r="AL54" i="1"/>
  <c r="AL24" i="1"/>
  <c r="AJ60" i="1"/>
  <c r="AM7" i="1"/>
  <c r="AJ47" i="1"/>
  <c r="AL34" i="1"/>
  <c r="AH38" i="1"/>
  <c r="AH12" i="1"/>
  <c r="AM32" i="1"/>
  <c r="AF71" i="1"/>
  <c r="AF67" i="1"/>
  <c r="AF36" i="1"/>
  <c r="AF50" i="1"/>
  <c r="AF60" i="1"/>
  <c r="AF72" i="1"/>
  <c r="AF77" i="1"/>
  <c r="AF93" i="1"/>
  <c r="AF63" i="1"/>
  <c r="AF87" i="1"/>
  <c r="AF86" i="1"/>
  <c r="AF79" i="1"/>
  <c r="AF54" i="1"/>
  <c r="AF45" i="1"/>
  <c r="AF56" i="1"/>
  <c r="AF7" i="1"/>
  <c r="AF11" i="1"/>
  <c r="AF19" i="1"/>
  <c r="AF17" i="1"/>
  <c r="AF90" i="1"/>
  <c r="AF30" i="1"/>
  <c r="AF62" i="1"/>
  <c r="AF38" i="1"/>
  <c r="AF32" i="1"/>
  <c r="AF49" i="1"/>
  <c r="AF24" i="1"/>
  <c r="AF12" i="1"/>
  <c r="AF22" i="1"/>
  <c r="AF8" i="1"/>
  <c r="AF25" i="1"/>
  <c r="AF37" i="1"/>
  <c r="AF75" i="1"/>
  <c r="AF16" i="1"/>
  <c r="AF35" i="1"/>
  <c r="AF61" i="1"/>
  <c r="AF58" i="1"/>
  <c r="AF57" i="1"/>
  <c r="AF82" i="1"/>
  <c r="AF47" i="1"/>
  <c r="AT43" i="1"/>
  <c r="AT31" i="1"/>
  <c r="AT10" i="1"/>
  <c r="AT33" i="1"/>
  <c r="AT29" i="1"/>
  <c r="AT23" i="1"/>
  <c r="AT41" i="1"/>
  <c r="AT46" i="1"/>
  <c r="AT28" i="1"/>
  <c r="AT27" i="1"/>
  <c r="AT39" i="1"/>
  <c r="AT26" i="1"/>
  <c r="AT21" i="1"/>
  <c r="AT42" i="1"/>
  <c r="AT20" i="1"/>
  <c r="AT15" i="1"/>
  <c r="AT40" i="1"/>
  <c r="AT9" i="1"/>
  <c r="AT64" i="1"/>
  <c r="AT13" i="1"/>
  <c r="AT14" i="1"/>
  <c r="AX45" i="1"/>
  <c r="AX47" i="1"/>
  <c r="AX44" i="1"/>
  <c r="AX48" i="1"/>
  <c r="AX53" i="1"/>
  <c r="AX55" i="1"/>
  <c r="AT59" i="1"/>
  <c r="AT47" i="1"/>
  <c r="AT44" i="1"/>
  <c r="AT45" i="1"/>
  <c r="AT48" i="1"/>
  <c r="AL46" i="1"/>
  <c r="AL44" i="1"/>
  <c r="AK33" i="1"/>
  <c r="AI40" i="1"/>
  <c r="AI26" i="1"/>
  <c r="AJ43" i="1"/>
  <c r="AL23" i="1"/>
  <c r="AJ71" i="1"/>
  <c r="AI43" i="1"/>
  <c r="AJ39" i="1"/>
  <c r="AJ51" i="1"/>
  <c r="AK28" i="1"/>
  <c r="AL66" i="1"/>
  <c r="AM29" i="1"/>
  <c r="AK42" i="1"/>
  <c r="AJ45" i="1"/>
  <c r="AI39" i="1"/>
  <c r="AJ48" i="1"/>
  <c r="AM66" i="1"/>
  <c r="AK27" i="1"/>
  <c r="AK26" i="1"/>
  <c r="AL40" i="1"/>
  <c r="AM46" i="1"/>
  <c r="AM39" i="1"/>
  <c r="AI23" i="1"/>
  <c r="AI31" i="1"/>
  <c r="AJ21" i="1"/>
  <c r="AM33" i="1"/>
  <c r="AJ41" i="1"/>
  <c r="AL20" i="1"/>
  <c r="AL41" i="1"/>
  <c r="AI20" i="1"/>
  <c r="AJ46" i="1"/>
  <c r="AJ74" i="1"/>
  <c r="AJ28" i="1"/>
  <c r="AJ31" i="1"/>
  <c r="AL45" i="1"/>
  <c r="AL21" i="1"/>
  <c r="AM21" i="1"/>
  <c r="AL29" i="1"/>
  <c r="AL31" i="1"/>
  <c r="AM40" i="1"/>
  <c r="AI27" i="1"/>
  <c r="AL70" i="1"/>
  <c r="AL42" i="1"/>
  <c r="AI28" i="1"/>
  <c r="AI33" i="1"/>
  <c r="AM42" i="1"/>
  <c r="AM31" i="1"/>
  <c r="AK48" i="1"/>
  <c r="AK46" i="1"/>
  <c r="AM48" i="1"/>
  <c r="AK51" i="1"/>
  <c r="AI29" i="1"/>
  <c r="AK68" i="1"/>
  <c r="AM43" i="1"/>
  <c r="AI47" i="1"/>
  <c r="AL47" i="1"/>
  <c r="AI53" i="1"/>
  <c r="AK55" i="1"/>
  <c r="AI46" i="1"/>
  <c r="AL27" i="1"/>
  <c r="AL68" i="1"/>
  <c r="AK66" i="1"/>
  <c r="AK40" i="1"/>
  <c r="AM20" i="1"/>
  <c r="AL26" i="1"/>
  <c r="AI21" i="1"/>
  <c r="AM45" i="1"/>
  <c r="AI44" i="1"/>
  <c r="AK53" i="1"/>
  <c r="AJ27" i="1"/>
  <c r="AK74" i="1"/>
  <c r="AJ42" i="1"/>
  <c r="AM23" i="1"/>
  <c r="AI68" i="1"/>
  <c r="AL51" i="1"/>
  <c r="AL53" i="1"/>
  <c r="AI55" i="1"/>
  <c r="AM41" i="1"/>
  <c r="AL43" i="1"/>
  <c r="AJ29" i="1"/>
  <c r="AM28" i="1"/>
  <c r="AK23" i="1"/>
  <c r="AK70" i="1"/>
  <c r="AM74" i="1"/>
  <c r="AK41" i="1"/>
  <c r="AI70" i="1"/>
  <c r="AJ70" i="1"/>
  <c r="AK31" i="1"/>
  <c r="AK39" i="1"/>
  <c r="AL33" i="1"/>
  <c r="AI42" i="1"/>
  <c r="AK43" i="1"/>
  <c r="AJ23" i="1"/>
  <c r="AJ55" i="1"/>
  <c r="AM71" i="1"/>
  <c r="AJ40" i="1"/>
  <c r="AJ26" i="1"/>
  <c r="AI74" i="1"/>
  <c r="AL28" i="1"/>
  <c r="AI41" i="1"/>
  <c r="AK20" i="1"/>
  <c r="AJ44" i="1"/>
  <c r="AK29" i="1"/>
  <c r="AM70" i="1"/>
  <c r="AM53" i="1"/>
  <c r="AM26" i="1"/>
  <c r="AM27" i="1"/>
  <c r="AL74" i="1"/>
  <c r="AK45" i="1"/>
  <c r="AM51" i="1"/>
  <c r="AJ53" i="1"/>
  <c r="AL39" i="1"/>
  <c r="AK47" i="1"/>
  <c r="AJ33" i="1"/>
  <c r="AM68" i="1"/>
  <c r="AM14" i="1"/>
  <c r="AK14" i="1"/>
  <c r="AL14" i="1"/>
  <c r="AJ14" i="1"/>
  <c r="AI14" i="1"/>
  <c r="AJ18" i="1"/>
  <c r="AM18" i="1"/>
  <c r="AH23" i="1"/>
  <c r="AH55" i="1"/>
  <c r="AH46" i="1"/>
  <c r="AH28" i="1"/>
  <c r="AH68" i="1"/>
  <c r="AH29" i="1"/>
  <c r="AH74" i="1"/>
  <c r="AH40" i="1"/>
  <c r="AH44" i="1"/>
  <c r="AH39" i="1"/>
  <c r="AH43" i="1"/>
  <c r="AH70" i="1"/>
  <c r="AH27" i="1"/>
  <c r="AH48" i="1"/>
  <c r="AH42" i="1"/>
  <c r="AH31" i="1"/>
  <c r="AH41" i="1"/>
  <c r="AH21" i="1"/>
  <c r="AH66" i="1"/>
  <c r="AH33" i="1"/>
  <c r="AH45" i="1"/>
  <c r="AH20" i="1"/>
  <c r="AH26" i="1"/>
  <c r="AF15" i="1"/>
  <c r="AF28" i="1"/>
  <c r="AF43" i="1"/>
  <c r="AF31" i="1"/>
  <c r="AF65" i="1"/>
  <c r="AF66" i="1"/>
  <c r="AF46" i="1"/>
  <c r="AF40" i="1"/>
  <c r="AF23" i="1"/>
  <c r="AF21" i="1"/>
  <c r="AF73" i="1"/>
  <c r="AF27" i="1"/>
  <c r="AF29" i="1"/>
  <c r="AF42" i="1"/>
  <c r="AF52" i="1"/>
  <c r="AF70" i="1"/>
  <c r="AF34" i="1"/>
  <c r="AF68" i="1"/>
  <c r="AF26" i="1"/>
  <c r="AF51" i="1"/>
  <c r="AF41" i="1"/>
  <c r="AF33" i="1"/>
  <c r="AF39" i="1"/>
  <c r="AF53" i="1"/>
  <c r="AF44" i="1"/>
  <c r="AF14" i="1"/>
  <c r="AF18" i="1"/>
  <c r="AF69" i="1"/>
  <c r="AF74" i="1"/>
  <c r="AF55" i="1"/>
  <c r="AF48" i="1"/>
  <c r="AI18" i="1"/>
  <c r="AL18" i="1"/>
  <c r="AJ20" i="1"/>
  <c r="AF20" i="1"/>
  <c r="AT18" i="1"/>
  <c r="AX59" i="1" l="1"/>
  <c r="AX98" i="1" s="1"/>
  <c r="AF59" i="1"/>
  <c r="AJ59" i="1"/>
  <c r="AL59" i="1"/>
  <c r="AM59" i="1"/>
  <c r="AH59" i="1"/>
  <c r="AI59" i="1"/>
  <c r="AK59" i="1"/>
  <c r="AT6" i="1"/>
  <c r="AA98" i="1"/>
  <c r="D30" i="2" s="1"/>
  <c r="E30" i="2" s="1"/>
  <c r="AC98" i="1"/>
  <c r="W98" i="1"/>
  <c r="D26" i="2" s="1"/>
  <c r="E26" i="2" s="1"/>
  <c r="AL15" i="1"/>
  <c r="O98" i="1"/>
  <c r="D18" i="2" s="1"/>
  <c r="E18" i="2" s="1"/>
  <c r="AK18" i="1"/>
  <c r="AK21" i="1"/>
  <c r="AM15" i="1"/>
  <c r="P98" i="1"/>
  <c r="D19" i="2" s="1"/>
  <c r="E19" i="2" s="1"/>
  <c r="AK15" i="1"/>
  <c r="AJ15" i="1"/>
  <c r="M98" i="1"/>
  <c r="D16" i="2" s="1"/>
  <c r="E16" i="2" s="1"/>
  <c r="AI15" i="1"/>
  <c r="L98" i="1"/>
  <c r="D15" i="2" s="1"/>
  <c r="E15" i="2" s="1"/>
  <c r="AH14" i="1"/>
  <c r="AH18" i="1"/>
  <c r="AH15" i="1"/>
  <c r="I98" i="1"/>
  <c r="D12" i="2" s="1"/>
  <c r="E12" i="2" s="1"/>
  <c r="AT98" i="1" l="1"/>
  <c r="AF98" i="1"/>
  <c r="AL98" i="1"/>
  <c r="AI98" i="1"/>
  <c r="AJ98" i="1"/>
  <c r="AM98" i="1"/>
  <c r="AK98" i="1"/>
  <c r="N98" i="1"/>
  <c r="D17" i="2" s="1"/>
  <c r="E17" i="2" s="1"/>
  <c r="K98" i="1"/>
  <c r="D14" i="2" s="1"/>
  <c r="E14" i="2" s="1"/>
  <c r="AH98" i="1"/>
  <c r="AV9" i="1" l="1"/>
  <c r="BG9" i="1" s="1"/>
  <c r="AV64" i="1"/>
  <c r="BG64" i="1" s="1"/>
  <c r="AV13" i="1"/>
  <c r="BG13" i="1" s="1"/>
  <c r="AV14" i="1"/>
  <c r="BG14" i="1" s="1"/>
  <c r="AV18" i="1"/>
  <c r="BG18" i="1" s="1"/>
  <c r="AV21" i="1"/>
  <c r="BG21" i="1" s="1"/>
  <c r="AV20" i="1"/>
  <c r="BG20" i="1" s="1"/>
  <c r="AV23" i="1"/>
  <c r="BG23" i="1" s="1"/>
  <c r="AV68" i="1"/>
  <c r="BG68" i="1" s="1"/>
  <c r="AV70" i="1"/>
  <c r="BG70" i="1" s="1"/>
  <c r="AV74" i="1"/>
  <c r="BG74" i="1" s="1"/>
  <c r="AV73" i="1"/>
  <c r="BG73" i="1" s="1"/>
  <c r="AV32" i="1"/>
  <c r="BG32" i="1" s="1"/>
  <c r="AV34" i="1"/>
  <c r="BG34" i="1" s="1"/>
  <c r="AV52" i="1"/>
  <c r="AV65" i="1"/>
  <c r="BG65" i="1" s="1"/>
  <c r="AV67" i="1"/>
  <c r="BG67" i="1" s="1"/>
  <c r="AV69" i="1"/>
  <c r="BG69" i="1" s="1"/>
  <c r="AV22" i="1"/>
  <c r="BG22" i="1" s="1"/>
  <c r="AV54" i="1"/>
  <c r="AV12" i="1"/>
  <c r="BG12" i="1" s="1"/>
  <c r="AV7" i="1"/>
  <c r="BG7" i="1" s="1"/>
  <c r="AV38" i="1"/>
  <c r="BG38" i="1" s="1"/>
  <c r="AV19" i="1"/>
  <c r="BG19" i="1" s="1"/>
  <c r="AV62" i="1"/>
  <c r="BG62" i="1" s="1"/>
  <c r="AV8" i="1"/>
  <c r="BG8" i="1" s="1"/>
  <c r="AV58" i="1"/>
  <c r="BG58" i="1" s="1"/>
  <c r="AV63" i="1"/>
  <c r="BG63" i="1" s="1"/>
  <c r="AV60" i="1"/>
  <c r="BG60" i="1" s="1"/>
  <c r="AV56" i="1"/>
  <c r="BG56" i="1" s="1"/>
  <c r="AV49" i="1"/>
  <c r="AV50" i="1"/>
  <c r="AV25" i="1"/>
  <c r="BG25" i="1" s="1"/>
  <c r="AV24" i="1"/>
  <c r="BG24" i="1" s="1"/>
  <c r="AV37" i="1"/>
  <c r="BG37" i="1" s="1"/>
  <c r="AV36" i="1"/>
  <c r="BG36" i="1" s="1"/>
  <c r="AV57" i="1"/>
  <c r="BG57" i="1" s="1"/>
  <c r="AV30" i="1"/>
  <c r="BG30" i="1" s="1"/>
  <c r="AV10" i="1"/>
  <c r="BG10" i="1" s="1"/>
  <c r="AV15" i="1"/>
  <c r="BG15" i="1" s="1"/>
  <c r="AV43" i="1"/>
  <c r="BG43" i="1" s="1"/>
  <c r="AV17" i="1"/>
  <c r="BG17" i="1" s="1"/>
  <c r="AV35" i="1"/>
  <c r="BG35" i="1" s="1"/>
  <c r="AV72" i="1"/>
  <c r="BG72" i="1" s="1"/>
  <c r="AV61" i="1"/>
  <c r="BG61" i="1" s="1"/>
  <c r="AV16" i="1"/>
  <c r="BG16" i="1" s="1"/>
  <c r="AV11" i="1"/>
  <c r="BG11" i="1" s="1"/>
  <c r="AV87" i="1"/>
  <c r="BG87" i="1" s="1"/>
  <c r="AV79" i="1"/>
  <c r="BG79" i="1" s="1"/>
  <c r="AV93" i="1"/>
  <c r="BG93" i="1" s="1"/>
  <c r="AV86" i="1"/>
  <c r="BG86" i="1" s="1"/>
  <c r="AV82" i="1"/>
  <c r="BG82" i="1" s="1"/>
  <c r="AV90" i="1"/>
  <c r="BG90" i="1" s="1"/>
  <c r="AV77" i="1"/>
  <c r="BG77" i="1" s="1"/>
  <c r="AV75" i="1"/>
  <c r="BG75" i="1" s="1"/>
  <c r="BI50" i="1" l="1"/>
  <c r="BG50" i="1"/>
  <c r="BI49" i="1"/>
  <c r="BG49" i="1"/>
  <c r="BI52" i="1"/>
  <c r="BG52" i="1"/>
  <c r="BI54" i="1"/>
  <c r="BG54" i="1"/>
  <c r="BI75" i="1"/>
  <c r="BI86" i="1"/>
  <c r="BI35" i="1"/>
  <c r="BI19" i="1"/>
  <c r="BI65" i="1"/>
  <c r="BI93" i="1"/>
  <c r="BI17" i="1"/>
  <c r="BI38" i="1"/>
  <c r="BI79" i="1"/>
  <c r="AV66" i="1"/>
  <c r="BG66" i="1" s="1"/>
  <c r="BI30" i="1"/>
  <c r="BI56" i="1"/>
  <c r="BI7" i="1"/>
  <c r="BI34" i="1"/>
  <c r="BI87" i="1"/>
  <c r="AV71" i="1"/>
  <c r="BG71" i="1" s="1"/>
  <c r="BI57" i="1"/>
  <c r="BI60" i="1"/>
  <c r="BI12" i="1"/>
  <c r="BI32" i="1"/>
  <c r="BI11" i="1"/>
  <c r="BI36" i="1"/>
  <c r="BI63" i="1"/>
  <c r="BI73" i="1"/>
  <c r="BI77" i="1"/>
  <c r="BI16" i="1"/>
  <c r="BI37" i="1"/>
  <c r="BI58" i="1"/>
  <c r="BI22" i="1"/>
  <c r="BI74" i="1"/>
  <c r="BI90" i="1"/>
  <c r="BI61" i="1"/>
  <c r="BI24" i="1"/>
  <c r="BI8" i="1"/>
  <c r="BI69" i="1"/>
  <c r="BI70" i="1"/>
  <c r="BI82" i="1"/>
  <c r="BI72" i="1"/>
  <c r="BI25" i="1"/>
  <c r="BI62" i="1"/>
  <c r="BI67" i="1"/>
  <c r="BI68" i="1"/>
  <c r="AV42" i="1"/>
  <c r="BG42" i="1" s="1"/>
  <c r="AV28" i="1"/>
  <c r="BG28" i="1" s="1"/>
  <c r="BI13" i="1"/>
  <c r="AV39" i="1"/>
  <c r="BG39" i="1" s="1"/>
  <c r="AV26" i="1"/>
  <c r="BG26" i="1" s="1"/>
  <c r="BI64" i="1"/>
  <c r="AV46" i="1"/>
  <c r="AV27" i="1"/>
  <c r="BG27" i="1" s="1"/>
  <c r="BI9" i="1"/>
  <c r="BI43" i="1"/>
  <c r="BI23" i="1"/>
  <c r="AV33" i="1"/>
  <c r="BG33" i="1" s="1"/>
  <c r="AV40" i="1"/>
  <c r="BG40" i="1" s="1"/>
  <c r="BI20" i="1"/>
  <c r="BI15" i="1"/>
  <c r="AV41" i="1"/>
  <c r="BG41" i="1" s="1"/>
  <c r="BI21" i="1"/>
  <c r="BI10" i="1"/>
  <c r="AV31" i="1"/>
  <c r="BG31" i="1" s="1"/>
  <c r="BI18" i="1"/>
  <c r="AV6" i="1"/>
  <c r="BG6" i="1" s="1"/>
  <c r="AV29" i="1"/>
  <c r="BG29" i="1" s="1"/>
  <c r="BI14" i="1"/>
  <c r="AV44" i="1"/>
  <c r="BG44" i="1" s="1"/>
  <c r="AV45" i="1"/>
  <c r="AV53" i="1"/>
  <c r="AV55" i="1"/>
  <c r="BG55" i="1" s="1"/>
  <c r="AV51" i="1"/>
  <c r="AV47" i="1"/>
  <c r="AV48" i="1"/>
  <c r="AV59" i="1"/>
  <c r="BG59" i="1" s="1"/>
  <c r="BI51" i="1" l="1"/>
  <c r="BG51" i="1"/>
  <c r="BI53" i="1"/>
  <c r="BG53" i="1"/>
  <c r="BI48" i="1"/>
  <c r="BG48" i="1"/>
  <c r="BI47" i="1"/>
  <c r="BG47" i="1"/>
  <c r="BI45" i="1"/>
  <c r="BG45" i="1"/>
  <c r="BI46" i="1"/>
  <c r="BG46" i="1"/>
  <c r="BI71" i="1"/>
  <c r="BI66" i="1"/>
  <c r="BI41" i="1"/>
  <c r="BI26" i="1"/>
  <c r="BI39" i="1"/>
  <c r="BI31" i="1"/>
  <c r="BI40" i="1"/>
  <c r="BI27" i="1"/>
  <c r="BI28" i="1"/>
  <c r="BI29" i="1"/>
  <c r="BI33" i="1"/>
  <c r="BI42" i="1"/>
  <c r="BI6" i="1"/>
  <c r="BI55" i="1"/>
  <c r="BI44" i="1"/>
  <c r="Y98" i="1"/>
  <c r="D28" i="2" s="1"/>
  <c r="E28" i="2" s="1"/>
  <c r="E32" i="2" s="1"/>
  <c r="E42" i="2" s="1"/>
  <c r="BI59" i="1"/>
  <c r="AV98" i="1"/>
  <c r="BI98" i="1" l="1"/>
  <c r="BG98" i="1"/>
  <c r="BK98" i="1" l="1"/>
  <c r="E44" i="2" s="1"/>
  <c r="BR98" i="1" l="1"/>
  <c r="E52" i="2" l="1"/>
  <c r="D52" i="2" s="1"/>
  <c r="BJ6" i="1" l="1"/>
  <c r="BJ73" i="1"/>
  <c r="BJ50" i="1"/>
  <c r="BJ77" i="1"/>
  <c r="BJ37" i="1"/>
  <c r="BJ72" i="1"/>
  <c r="BJ56" i="1"/>
  <c r="BJ41" i="1"/>
  <c r="BJ35" i="1"/>
  <c r="BJ29" i="1"/>
  <c r="BJ91" i="1"/>
  <c r="BJ12" i="1"/>
  <c r="BJ28" i="1"/>
  <c r="BJ60" i="1"/>
  <c r="BJ11" i="1"/>
  <c r="BJ90" i="1"/>
  <c r="BJ51" i="1"/>
  <c r="BJ68" i="1"/>
  <c r="BJ10" i="1"/>
  <c r="BJ67" i="1"/>
  <c r="BJ15" i="1"/>
  <c r="BJ52" i="1"/>
  <c r="BJ75" i="1"/>
  <c r="BJ48" i="1"/>
  <c r="BJ66" i="1"/>
  <c r="BJ55" i="1"/>
  <c r="BJ81" i="1"/>
  <c r="BJ27" i="1"/>
  <c r="BJ45" i="1"/>
  <c r="BJ61" i="1"/>
  <c r="BJ96" i="1"/>
  <c r="BJ80" i="1"/>
  <c r="BJ34" i="1"/>
  <c r="BJ8" i="1"/>
  <c r="BJ44" i="1"/>
  <c r="BJ78" i="1"/>
  <c r="BJ74" i="1"/>
  <c r="BJ25" i="1"/>
  <c r="BJ40" i="1"/>
  <c r="BJ69" i="1"/>
  <c r="BJ21" i="1"/>
  <c r="BJ17" i="1"/>
  <c r="BJ70" i="1"/>
  <c r="BJ87" i="1"/>
  <c r="BJ93" i="1"/>
  <c r="BJ33" i="1"/>
  <c r="BJ16" i="1"/>
  <c r="BJ30" i="1"/>
  <c r="BJ46" i="1"/>
  <c r="BJ83" i="1"/>
  <c r="BJ65" i="1"/>
  <c r="BJ39" i="1"/>
  <c r="BJ92" i="1"/>
  <c r="BJ76" i="1"/>
  <c r="BJ7" i="1"/>
  <c r="BJ31" i="1"/>
  <c r="BJ47" i="1"/>
  <c r="BJ32" i="1"/>
  <c r="BJ62" i="1"/>
  <c r="BJ88" i="1"/>
  <c r="BJ19" i="1"/>
  <c r="BJ53" i="1"/>
  <c r="BJ58" i="1"/>
  <c r="BJ84" i="1"/>
  <c r="BJ54" i="1"/>
  <c r="BJ22" i="1"/>
  <c r="BJ63" i="1"/>
  <c r="BJ85" i="1"/>
  <c r="BJ79" i="1"/>
  <c r="BJ86" i="1"/>
  <c r="BJ23" i="1"/>
  <c r="BJ24" i="1"/>
  <c r="BJ57" i="1"/>
  <c r="BJ43" i="1"/>
  <c r="BJ42" i="1"/>
  <c r="BJ38" i="1"/>
  <c r="BJ20" i="1"/>
  <c r="BJ36" i="1"/>
  <c r="BJ95" i="1"/>
  <c r="BJ71" i="1"/>
  <c r="BJ26" i="1"/>
  <c r="BJ89" i="1"/>
  <c r="BJ59" i="1"/>
  <c r="BJ82" i="1"/>
  <c r="BJ49" i="1"/>
  <c r="BJ9" i="1"/>
  <c r="BJ64" i="1"/>
  <c r="BJ13" i="1"/>
  <c r="BJ14" i="1"/>
  <c r="BJ94" i="1"/>
  <c r="BJ18" i="1" l="1"/>
  <c r="BJ98" i="1" l="1"/>
  <c r="BF98" i="1"/>
  <c r="E47" i="2" l="1"/>
  <c r="E48" i="2" l="1"/>
  <c r="BQ18" i="1" l="1"/>
  <c r="BT18" i="1" s="1"/>
  <c r="BQ48" i="1"/>
  <c r="BT48" i="1" s="1"/>
  <c r="BQ30" i="1"/>
  <c r="BT30" i="1" s="1"/>
  <c r="BQ52" i="1"/>
  <c r="BT52" i="1" s="1"/>
  <c r="BQ26" i="1"/>
  <c r="BT26" i="1" s="1"/>
  <c r="BQ70" i="1"/>
  <c r="BT70" i="1" s="1"/>
  <c r="BQ53" i="1"/>
  <c r="BT53" i="1" s="1"/>
  <c r="BQ86" i="1"/>
  <c r="BT86" i="1" s="1"/>
  <c r="BQ77" i="1"/>
  <c r="BT77" i="1" s="1"/>
  <c r="BQ28" i="1"/>
  <c r="BT28" i="1" s="1"/>
  <c r="BQ61" i="1"/>
  <c r="BT61" i="1" s="1"/>
  <c r="BQ76" i="1"/>
  <c r="BT76" i="1" s="1"/>
  <c r="E49" i="2" l="1"/>
  <c r="E50" i="2" s="1"/>
  <c r="E55" i="2" s="1"/>
  <c r="BQ84" i="1"/>
  <c r="BQ41" i="1"/>
  <c r="BT41" i="1" s="1"/>
  <c r="BQ6" i="1"/>
  <c r="BQ20" i="1"/>
  <c r="BT20" i="1" s="1"/>
  <c r="BQ51" i="1"/>
  <c r="BT51" i="1" s="1"/>
  <c r="BQ79" i="1"/>
  <c r="BT79" i="1" s="1"/>
  <c r="BQ38" i="1"/>
  <c r="BT38" i="1" s="1"/>
  <c r="BQ11" i="1"/>
  <c r="BT11" i="1" s="1"/>
  <c r="BQ49" i="1"/>
  <c r="BT49" i="1" s="1"/>
  <c r="BQ32" i="1"/>
  <c r="BT32" i="1" s="1"/>
  <c r="BQ46" i="1"/>
  <c r="BT46" i="1" s="1"/>
  <c r="BQ35" i="1"/>
  <c r="BT35" i="1" s="1"/>
  <c r="BQ74" i="1"/>
  <c r="BT74" i="1" s="1"/>
  <c r="BQ24" i="1"/>
  <c r="BT24" i="1" s="1"/>
  <c r="BQ50" i="1"/>
  <c r="BT50" i="1" s="1"/>
  <c r="BQ21" i="1"/>
  <c r="BT21" i="1" s="1"/>
  <c r="BQ69" i="1"/>
  <c r="BT69" i="1" s="1"/>
  <c r="BQ8" i="1"/>
  <c r="BT8" i="1" s="1"/>
  <c r="BQ17" i="1"/>
  <c r="BT17" i="1" s="1"/>
  <c r="BQ27" i="1"/>
  <c r="BT27" i="1" s="1"/>
  <c r="BQ56" i="1"/>
  <c r="BT56" i="1" s="1"/>
  <c r="BQ7" i="1"/>
  <c r="BT7" i="1" s="1"/>
  <c r="BQ82" i="1"/>
  <c r="BT82" i="1" s="1"/>
  <c r="BQ25" i="1"/>
  <c r="BT25" i="1" s="1"/>
  <c r="BQ95" i="1"/>
  <c r="BT95" i="1" s="1"/>
  <c r="BQ85" i="1"/>
  <c r="BT85" i="1" s="1"/>
  <c r="BQ92" i="1"/>
  <c r="BT92" i="1" s="1"/>
  <c r="BQ94" i="1"/>
  <c r="BT94" i="1" s="1"/>
  <c r="BQ83" i="1"/>
  <c r="BT83" i="1" s="1"/>
  <c r="BQ14" i="1"/>
  <c r="BT14" i="1" s="1"/>
  <c r="BQ64" i="1"/>
  <c r="BT64" i="1" s="1"/>
  <c r="E45" i="2"/>
  <c r="BT84" i="1" l="1"/>
  <c r="BQ29" i="1"/>
  <c r="BT29" i="1" s="1"/>
  <c r="BQ40" i="1"/>
  <c r="BT40" i="1" s="1"/>
  <c r="BQ39" i="1"/>
  <c r="BT39" i="1" s="1"/>
  <c r="BQ31" i="1"/>
  <c r="BT31" i="1" s="1"/>
  <c r="BT6" i="1"/>
  <c r="BQ43" i="1"/>
  <c r="BT43" i="1" s="1"/>
  <c r="BQ44" i="1"/>
  <c r="BT44" i="1" s="1"/>
  <c r="BQ55" i="1"/>
  <c r="BT55" i="1" s="1"/>
  <c r="BQ36" i="1"/>
  <c r="BT36" i="1" s="1"/>
  <c r="BQ22" i="1"/>
  <c r="BT22" i="1" s="1"/>
  <c r="BQ58" i="1"/>
  <c r="BT58" i="1" s="1"/>
  <c r="BQ71" i="1"/>
  <c r="BT71" i="1" s="1"/>
  <c r="BQ87" i="1"/>
  <c r="BT87" i="1" s="1"/>
  <c r="BQ33" i="1"/>
  <c r="BT33" i="1" s="1"/>
  <c r="BQ19" i="1"/>
  <c r="BT19" i="1" s="1"/>
  <c r="BQ67" i="1"/>
  <c r="BT67" i="1" s="1"/>
  <c r="BQ37" i="1"/>
  <c r="BT37" i="1" s="1"/>
  <c r="BQ78" i="1"/>
  <c r="BT78" i="1" s="1"/>
  <c r="BQ54" i="1"/>
  <c r="BT54" i="1" s="1"/>
  <c r="BQ93" i="1"/>
  <c r="BT93" i="1" s="1"/>
  <c r="BQ73" i="1"/>
  <c r="BT73" i="1" s="1"/>
  <c r="BQ23" i="1"/>
  <c r="BT23" i="1" s="1"/>
  <c r="BQ90" i="1"/>
  <c r="BT90" i="1" s="1"/>
  <c r="BQ60" i="1"/>
  <c r="BT60" i="1" s="1"/>
  <c r="BQ68" i="1"/>
  <c r="BT68" i="1" s="1"/>
  <c r="BQ75" i="1"/>
  <c r="BT75" i="1" s="1"/>
  <c r="BQ72" i="1"/>
  <c r="BT72" i="1" s="1"/>
  <c r="BQ12" i="1"/>
  <c r="BT12" i="1" s="1"/>
  <c r="BQ57" i="1"/>
  <c r="BT57" i="1" s="1"/>
  <c r="BQ15" i="1"/>
  <c r="BT15" i="1" s="1"/>
  <c r="BQ47" i="1"/>
  <c r="BT47" i="1" s="1"/>
  <c r="BQ65" i="1"/>
  <c r="BT65" i="1" s="1"/>
  <c r="BQ63" i="1"/>
  <c r="BT63" i="1" s="1"/>
  <c r="BQ66" i="1"/>
  <c r="BT66" i="1" s="1"/>
  <c r="BQ62" i="1"/>
  <c r="BT62" i="1" s="1"/>
  <c r="BQ16" i="1"/>
  <c r="BT16" i="1" s="1"/>
  <c r="BQ81" i="1"/>
  <c r="BT81" i="1" s="1"/>
  <c r="BQ34" i="1"/>
  <c r="BT34" i="1" s="1"/>
  <c r="BQ89" i="1"/>
  <c r="BT89" i="1" s="1"/>
  <c r="BQ96" i="1"/>
  <c r="BT96" i="1" s="1"/>
  <c r="BQ88" i="1"/>
  <c r="BT88" i="1" s="1"/>
  <c r="BQ80" i="1"/>
  <c r="BT80" i="1" s="1"/>
  <c r="BQ91" i="1"/>
  <c r="BT91" i="1" s="1"/>
  <c r="BQ13" i="1"/>
  <c r="BT13" i="1" s="1"/>
  <c r="BQ42" i="1" l="1"/>
  <c r="BT42" i="1" s="1"/>
  <c r="BQ45" i="1"/>
  <c r="BT45" i="1" s="1"/>
  <c r="BQ59" i="1"/>
  <c r="BT59" i="1" s="1"/>
  <c r="BQ10" i="1"/>
  <c r="BT10" i="1" l="1"/>
  <c r="BQ9" i="1" l="1"/>
  <c r="BP98" i="1"/>
  <c r="BT9" i="1" l="1"/>
  <c r="BT98" i="1" s="1"/>
  <c r="BQ98" i="1"/>
  <c r="H23" i="11" l="1"/>
  <c r="H62" i="11"/>
  <c r="O62" i="11" s="1"/>
  <c r="H32" i="11"/>
  <c r="H19" i="11"/>
  <c r="H41" i="11"/>
  <c r="H26" i="11"/>
  <c r="H61" i="11"/>
  <c r="H6" i="11"/>
  <c r="H37" i="11"/>
  <c r="H7" i="11"/>
  <c r="O7" i="11" s="1"/>
  <c r="H17" i="11"/>
  <c r="H44" i="11"/>
  <c r="H40" i="11"/>
  <c r="H60" i="11"/>
  <c r="H39" i="11"/>
  <c r="H53" i="11"/>
  <c r="H56" i="11"/>
  <c r="H13" i="11"/>
  <c r="H45" i="11"/>
  <c r="H47" i="11"/>
  <c r="H25" i="11"/>
  <c r="H12" i="11"/>
  <c r="H59" i="11"/>
  <c r="H49" i="11"/>
  <c r="O49" i="11" s="1"/>
  <c r="H50" i="11"/>
  <c r="H22" i="11"/>
  <c r="H42" i="11"/>
  <c r="H29" i="11"/>
  <c r="H31" i="11"/>
  <c r="H35" i="11"/>
  <c r="H21" i="11"/>
  <c r="H10" i="11"/>
  <c r="H43" i="11"/>
  <c r="H18" i="11"/>
  <c r="H36" i="11"/>
  <c r="H54" i="11"/>
  <c r="H30" i="11"/>
  <c r="H57" i="11"/>
  <c r="H51" i="11"/>
  <c r="H38" i="11"/>
  <c r="H11" i="11"/>
  <c r="H52" i="11"/>
  <c r="H27" i="11"/>
  <c r="H58" i="11"/>
  <c r="H33" i="11"/>
  <c r="H34" i="11"/>
  <c r="H16" i="11"/>
  <c r="H46" i="11"/>
  <c r="H55" i="11"/>
  <c r="H28" i="11"/>
  <c r="H63" i="11"/>
  <c r="H48" i="11"/>
  <c r="O48" i="11" s="1"/>
  <c r="H20" i="11"/>
  <c r="H9" i="11"/>
  <c r="H14" i="11"/>
  <c r="H15" i="11"/>
  <c r="O6" i="11" l="1"/>
  <c r="S6" i="11"/>
  <c r="H8" i="11"/>
  <c r="D8" i="16"/>
  <c r="V48" i="11"/>
  <c r="K48" i="11"/>
  <c r="S48" i="11"/>
  <c r="K38" i="11"/>
  <c r="O38" i="11"/>
  <c r="S38" i="11"/>
  <c r="V38" i="11"/>
  <c r="K10" i="11"/>
  <c r="O10" i="11"/>
  <c r="S10" i="11"/>
  <c r="V10" i="11"/>
  <c r="S49" i="11"/>
  <c r="V49" i="11"/>
  <c r="K49" i="11"/>
  <c r="K53" i="11"/>
  <c r="S53" i="11"/>
  <c r="V53" i="11"/>
  <c r="O19" i="11"/>
  <c r="S19" i="11"/>
  <c r="K19" i="11"/>
  <c r="V19" i="11"/>
  <c r="V14" i="11"/>
  <c r="K14" i="11"/>
  <c r="O14" i="11"/>
  <c r="S14" i="11"/>
  <c r="O46" i="11"/>
  <c r="S46" i="11"/>
  <c r="K46" i="11"/>
  <c r="V46" i="11"/>
  <c r="K58" i="11"/>
  <c r="S58" i="11"/>
  <c r="V58" i="11"/>
  <c r="V54" i="11"/>
  <c r="K54" i="11"/>
  <c r="S54" i="11"/>
  <c r="O29" i="11"/>
  <c r="S29" i="11"/>
  <c r="V29" i="11"/>
  <c r="K29" i="11"/>
  <c r="V47" i="11"/>
  <c r="K47" i="11"/>
  <c r="O47" i="11"/>
  <c r="S47" i="11"/>
  <c r="O44" i="11"/>
  <c r="S44" i="11"/>
  <c r="V44" i="11"/>
  <c r="K44" i="11"/>
  <c r="H65" i="11"/>
  <c r="D19" i="9"/>
  <c r="F65" i="11"/>
  <c r="O9" i="11"/>
  <c r="S9" i="11"/>
  <c r="K9" i="11"/>
  <c r="V9" i="11"/>
  <c r="K27" i="11"/>
  <c r="O27" i="11"/>
  <c r="S27" i="11"/>
  <c r="V27" i="11"/>
  <c r="S36" i="11"/>
  <c r="O36" i="11"/>
  <c r="K36" i="11"/>
  <c r="V36" i="11"/>
  <c r="O42" i="11"/>
  <c r="S42" i="11"/>
  <c r="K42" i="11"/>
  <c r="V42" i="11"/>
  <c r="O45" i="11"/>
  <c r="K45" i="11"/>
  <c r="S45" i="11"/>
  <c r="V45" i="11"/>
  <c r="O17" i="11"/>
  <c r="S17" i="11"/>
  <c r="K17" i="11"/>
  <c r="V17" i="11"/>
  <c r="V32" i="11"/>
  <c r="K32" i="11"/>
  <c r="O32" i="11"/>
  <c r="S32" i="11"/>
  <c r="S63" i="11"/>
  <c r="K63" i="11"/>
  <c r="O63" i="11"/>
  <c r="V63" i="11"/>
  <c r="S16" i="11"/>
  <c r="V16" i="11"/>
  <c r="K16" i="11"/>
  <c r="O16" i="11"/>
  <c r="K51" i="11"/>
  <c r="S51" i="11"/>
  <c r="V51" i="11"/>
  <c r="K21" i="11"/>
  <c r="O21" i="11"/>
  <c r="S21" i="11"/>
  <c r="V21" i="11"/>
  <c r="S59" i="11"/>
  <c r="K59" i="11"/>
  <c r="V59" i="11"/>
  <c r="V39" i="11"/>
  <c r="O39" i="11"/>
  <c r="K39" i="11"/>
  <c r="S39" i="11"/>
  <c r="K61" i="11"/>
  <c r="V61" i="11"/>
  <c r="S61" i="11"/>
  <c r="S28" i="11"/>
  <c r="K28" i="11"/>
  <c r="O28" i="11"/>
  <c r="V28" i="11"/>
  <c r="S52" i="11"/>
  <c r="V52" i="11"/>
  <c r="K52" i="11"/>
  <c r="K18" i="11"/>
  <c r="O18" i="11"/>
  <c r="S18" i="11"/>
  <c r="V18" i="11"/>
  <c r="V22" i="11"/>
  <c r="K22" i="11"/>
  <c r="O22" i="11"/>
  <c r="S22" i="11"/>
  <c r="K13" i="11"/>
  <c r="O13" i="11"/>
  <c r="S13" i="11"/>
  <c r="V13" i="11"/>
  <c r="V7" i="11"/>
  <c r="S7" i="11"/>
  <c r="K62" i="11"/>
  <c r="V62" i="11"/>
  <c r="S62" i="11"/>
  <c r="K20" i="11"/>
  <c r="O20" i="11"/>
  <c r="S20" i="11"/>
  <c r="V20" i="11"/>
  <c r="O34" i="11"/>
  <c r="S34" i="11"/>
  <c r="K34" i="11"/>
  <c r="V34" i="11"/>
  <c r="S57" i="11"/>
  <c r="K57" i="11"/>
  <c r="V57" i="11"/>
  <c r="K35" i="11"/>
  <c r="O35" i="11"/>
  <c r="S35" i="11"/>
  <c r="V35" i="11"/>
  <c r="O12" i="11"/>
  <c r="S12" i="11"/>
  <c r="K12" i="11"/>
  <c r="V12" i="11"/>
  <c r="S60" i="11"/>
  <c r="V60" i="11"/>
  <c r="K60" i="11"/>
  <c r="O26" i="11"/>
  <c r="S26" i="11"/>
  <c r="K26" i="11"/>
  <c r="V26" i="11"/>
  <c r="K55" i="11"/>
  <c r="V55" i="11"/>
  <c r="S55" i="11"/>
  <c r="O11" i="11"/>
  <c r="S11" i="11"/>
  <c r="V11" i="11"/>
  <c r="K11" i="11"/>
  <c r="K43" i="11"/>
  <c r="O43" i="11"/>
  <c r="S43" i="11"/>
  <c r="V43" i="11"/>
  <c r="S50" i="11"/>
  <c r="K50" i="11"/>
  <c r="V50" i="11"/>
  <c r="K56" i="11"/>
  <c r="S56" i="11"/>
  <c r="V56" i="11"/>
  <c r="O37" i="11"/>
  <c r="K37" i="11"/>
  <c r="S37" i="11"/>
  <c r="V37" i="11"/>
  <c r="V23" i="11"/>
  <c r="K23" i="11"/>
  <c r="O23" i="11"/>
  <c r="S23" i="11"/>
  <c r="V15" i="11"/>
  <c r="O15" i="11"/>
  <c r="K15" i="11"/>
  <c r="S15" i="11"/>
  <c r="S33" i="11"/>
  <c r="V33" i="11"/>
  <c r="K33" i="11"/>
  <c r="O33" i="11"/>
  <c r="K30" i="11"/>
  <c r="O30" i="11"/>
  <c r="S30" i="11"/>
  <c r="V30" i="11"/>
  <c r="V31" i="11"/>
  <c r="K31" i="11"/>
  <c r="O31" i="11"/>
  <c r="S31" i="11"/>
  <c r="S25" i="11"/>
  <c r="V25" i="11"/>
  <c r="K25" i="11"/>
  <c r="O25" i="11"/>
  <c r="K40" i="11"/>
  <c r="V40" i="11"/>
  <c r="O40" i="11"/>
  <c r="S40" i="11"/>
  <c r="S41" i="11"/>
  <c r="V41" i="11"/>
  <c r="K41" i="11"/>
  <c r="O41" i="11"/>
  <c r="E59" i="2" l="1"/>
  <c r="D9" i="16"/>
  <c r="F8" i="16"/>
  <c r="D12" i="16"/>
  <c r="V8" i="11"/>
  <c r="S8" i="11"/>
  <c r="S65" i="11" s="1"/>
  <c r="K8" i="11"/>
  <c r="O8" i="11"/>
  <c r="F12" i="16" l="1"/>
  <c r="F20" i="16" s="1"/>
  <c r="D20" i="16"/>
  <c r="K7" i="11" l="1"/>
  <c r="D14" i="9"/>
  <c r="D17" i="9" s="1"/>
  <c r="K6" i="11"/>
  <c r="O53" i="11"/>
  <c r="O58" i="11"/>
  <c r="O51" i="11"/>
  <c r="O55" i="11"/>
  <c r="K65" i="11" l="1"/>
  <c r="V6" i="11"/>
  <c r="BV98" i="1" s="1"/>
  <c r="J9" i="17"/>
  <c r="K9" i="17" s="1"/>
  <c r="F20" i="9"/>
  <c r="F22" i="9"/>
  <c r="F24" i="9" s="1"/>
  <c r="F34" i="9" s="1"/>
  <c r="F19" i="9"/>
  <c r="O60" i="11"/>
  <c r="BW98" i="1" l="1"/>
  <c r="K67" i="17"/>
  <c r="V65" i="11"/>
  <c r="K70" i="17" s="1"/>
  <c r="O61" i="11"/>
  <c r="O50" i="11"/>
  <c r="O56" i="11"/>
  <c r="O52" i="11"/>
  <c r="O54" i="11"/>
  <c r="O57" i="11"/>
  <c r="O59" i="11"/>
  <c r="K72" i="17" l="1"/>
  <c r="O6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tc={39F2BB47-1D82-4576-96DA-3B283CBAC7C5}</author>
  </authors>
  <commentList>
    <comment ref="BV5" authorId="0" shapeId="0" xr:uid="{39F2BB47-1D82-4576-96DA-3B283CBAC7C5}">
      <text>
        <t>[Threaded comment]
Your version of Excel allows you to read this threaded comment; however, any edits to it will get removed if the file is opened in a newer version of Excel. Learn more: https://go.microsoft.com/fwlink/?linkid=870924
Comment:
    Includes MNS Supplement</t>
      </text>
    </comment>
  </commentList>
</comments>
</file>

<file path=xl/sharedStrings.xml><?xml version="1.0" encoding="utf-8"?>
<sst xmlns="http://schemas.openxmlformats.org/spreadsheetml/2006/main" count="1046" uniqueCount="431">
  <si>
    <t>Notes to the funding allocations</t>
  </si>
  <si>
    <t>DSG Schools Block</t>
  </si>
  <si>
    <r>
      <t>Unit Data</t>
    </r>
    <r>
      <rPr>
        <sz val="10"/>
        <color theme="1"/>
        <rFont val="Arial"/>
        <family val="2"/>
      </rPr>
      <t xml:space="preserve"> - The unit data used comes directly from the DfE, which is in the</t>
    </r>
    <r>
      <rPr>
        <sz val="10"/>
        <rFont val="Arial"/>
        <family val="2"/>
      </rPr>
      <t xml:space="preserve"> format as a percentage of the number on roll. All authorities have been instructed to use this data, which is driven in the main by the October 2020 pupil census data. </t>
    </r>
    <r>
      <rPr>
        <sz val="10"/>
        <color theme="1"/>
        <rFont val="Arial"/>
        <family val="2"/>
      </rPr>
      <t xml:space="preserve">This data is only amendable where it is not representative. As percentages of numbers on roll have been used, the pupil numbers will not be </t>
    </r>
    <r>
      <rPr>
        <sz val="10"/>
        <rFont val="Arial"/>
        <family val="2"/>
      </rPr>
      <t xml:space="preserve">absolute.
The unit values for Additional Educational Need (AEN) have been increased by a minimum of 3%, from the 2020-21 rates in line with the increases to the core factors in the National Funding Formula for 2021/22. The Techers Pay and Techers Pension - Employers contribution Grants have been added to the forumla, directed at AWPU reflecting the previous grant format.  The Mobility data has been inflated to the NFF level, as agreed.  Deprivation funding is being maintained at approximately 7% of the total, comparable with 2020/21. To achieve this the Ever6FSM and IDACI factors have been inflated to compensate for the reduction in eligibile pupils.  </t>
    </r>
    <r>
      <rPr>
        <sz val="10"/>
        <color theme="1"/>
        <rFont val="Arial"/>
        <family val="2"/>
      </rPr>
      <t xml:space="preserve">
In order to manage the distribution of resources, the AWPU has been used to balance the total Individual Schools Budget shares.</t>
    </r>
  </si>
  <si>
    <r>
      <t>Pupil Data</t>
    </r>
    <r>
      <rPr>
        <sz val="10"/>
        <rFont val="Arial"/>
        <family val="2"/>
      </rPr>
      <t xml:space="preserve"> - The Pupil Data is based on the October 2020 pupil census as provided by the DfE. The NOR used does not include pupils on the census marked as 'S' (subsidiary registration for dual roled pupils)                                                                                                                                                                                                                                                   
If a school has opened in the last 7 years and is still admitting to all its year groups, we are required by regulations to estimate pupil numbers. Therefore the NOR for these schools will not match the value on the October 2020 census. For these schools, the figures shown are calculated based on the LA's financial year and as such include an element of part year effect for growth for our modelling purposes only, and also to enable the ESFA to recoup funding for them.              </t>
    </r>
  </si>
  <si>
    <r>
      <t>AWPU</t>
    </r>
    <r>
      <rPr>
        <sz val="10"/>
        <rFont val="Arial"/>
        <family val="2"/>
      </rPr>
      <t xml:space="preserve"> - There are only three allowable rates, Primary, KS3 and KS4. There is an increase from last year on these unit rates due to the significant increase in Schools Block funding, mostly attributable to grant transfer.</t>
    </r>
    <r>
      <rPr>
        <b/>
        <sz val="10"/>
        <rFont val="Arial"/>
        <family val="2"/>
      </rPr>
      <t xml:space="preserve"> </t>
    </r>
  </si>
  <si>
    <r>
      <t xml:space="preserve">Deprivation - </t>
    </r>
    <r>
      <rPr>
        <sz val="10"/>
        <rFont val="Arial"/>
        <family val="2"/>
      </rPr>
      <t>The allocation of this factor uses FSM6 and IDACI data. The total funding distributed through the factor in 2021/22 will be maintained at approximately 7% of the total pupil led funding</t>
    </r>
    <r>
      <rPr>
        <b/>
        <sz val="10"/>
        <rFont val="Arial"/>
        <family val="2"/>
      </rPr>
      <t xml:space="preserve">.
FSM6 - Is </t>
    </r>
    <r>
      <rPr>
        <sz val="10"/>
        <rFont val="Arial"/>
        <family val="2"/>
      </rPr>
      <t xml:space="preserve">used to allocate 75% of the total deprivation funding.  the value per eligible pupil has been increased in order to maitain the deprivation total. The data set used is the same as the Pupil Premium allocation data for 2020/21, and applied as a percentage to the October 2020 NOR 
</t>
    </r>
    <r>
      <rPr>
        <b/>
        <sz val="10"/>
        <rFont val="Arial"/>
        <family val="2"/>
      </rPr>
      <t>IDACI (Income and Deprivation Affecting Children Index) -</t>
    </r>
    <r>
      <rPr>
        <sz val="10"/>
        <rFont val="Arial"/>
        <family val="2"/>
      </rPr>
      <t xml:space="preserve"> Is used to allocate the remainin 25% of the total deprivation funding</t>
    </r>
    <r>
      <rPr>
        <b/>
        <sz val="10"/>
        <rFont val="Arial"/>
        <family val="2"/>
      </rPr>
      <t>.</t>
    </r>
    <r>
      <rPr>
        <b/>
        <sz val="10"/>
        <color rgb="FFFF0000"/>
        <rFont val="Arial"/>
        <family val="2"/>
      </rPr>
      <t xml:space="preserve"> </t>
    </r>
    <r>
      <rPr>
        <sz val="10"/>
        <rFont val="Arial"/>
        <family val="2"/>
      </rPr>
      <t xml:space="preserve">The IDACI bandings have been recalculated nationally to incorporate the latest IDACI census (updated every 5 years) resulting in an overall drop in deprivation, and leading to a redistribution of the data across the existing 6 bands.  Each postcode of a child on the October 2020 census is assigned a scoring using the index, with 1 (band A) being the most deprived and 0 (band G) the least. Any child with a scoring over 0.2 (band F) will attract funding under this factor, with funding determined by the pre-determined band a child falls into.  Funding rates have been increased to maintain the deprivation total.  </t>
    </r>
  </si>
  <si>
    <r>
      <t>English as an Additional Language</t>
    </r>
    <r>
      <rPr>
        <sz val="10"/>
        <rFont val="Arial"/>
        <family val="2"/>
      </rPr>
      <t xml:space="preserve"> (inflated by 3%) - The agreed factor that has been used is EAL3, where the number of eligible pupils is determined based on children deemed EAL on the census that have been in the school system for less than 3 years.                     </t>
    </r>
  </si>
  <si>
    <r>
      <t xml:space="preserve">Low Prior attainment / Covid-19 </t>
    </r>
    <r>
      <rPr>
        <sz val="10"/>
        <rFont val="Arial"/>
        <family val="2"/>
      </rPr>
      <t>Following the cancellation of assessments in summer 2020 due to COVID-19, local authorities are not able to use 2020 data as part of setting a low prior attainment factor. Instead, the data uses 2019 assessment data as a proxy for the 2020 reception and year 6 cohort. Therefore, for example, the same national weighting for pupils in year 8 will be used for those who are year 7 in the academic year 2020 to 2021</t>
    </r>
    <r>
      <rPr>
        <b/>
        <sz val="10"/>
        <rFont val="Arial"/>
        <family val="2"/>
      </rPr>
      <t>.
Low Prior Attainment represents the Notional SEN budget.</t>
    </r>
  </si>
  <si>
    <r>
      <t>Prior Attainment Primary</t>
    </r>
    <r>
      <rPr>
        <sz val="10"/>
        <rFont val="Arial"/>
        <family val="2"/>
      </rPr>
      <t xml:space="preserve"> (inflated by 3%) - This has to be calculated on the Early Years Foundation Stage Profile (EYSFP). The number of eligible pupils for this factor is based on primary pupils not achieving the expected level of development in the EYSFP.</t>
    </r>
  </si>
  <si>
    <r>
      <t>Prior Attainment Secondary</t>
    </r>
    <r>
      <rPr>
        <sz val="10"/>
        <rFont val="Arial"/>
        <family val="2"/>
      </rPr>
      <t xml:space="preserve"> (inflated by 3%) - This is calculated using the new KS2 tests for Yr 7-9 pupils, and the previous testing regime for Yr 10 &amp; 11 pupils. This factor applies to secondary pupils not reaching the expected standard in KS2 at either reading or writing or maths.</t>
    </r>
  </si>
  <si>
    <r>
      <t xml:space="preserve">Mobility </t>
    </r>
    <r>
      <rPr>
        <sz val="10"/>
        <rFont val="Arial"/>
        <family val="2"/>
      </rPr>
      <t>(inflated to match NFF rates)</t>
    </r>
    <r>
      <rPr>
        <b/>
        <sz val="10"/>
        <rFont val="Arial"/>
        <family val="2"/>
      </rPr>
      <t xml:space="preserve"> - </t>
    </r>
    <r>
      <rPr>
        <sz val="10"/>
        <rFont val="Arial"/>
        <family val="2"/>
      </rPr>
      <t>This factor is based on those pupils whose start date at the school is not September, and entered the school in the last three academic years (excluding nursery entrants). This involves tracking individual pupils using their unique pupil ID through censuses from the past 3 years.  Only schools with over 6% of pupils meeting the criteria will attract funding under this factor.</t>
    </r>
  </si>
  <si>
    <r>
      <t>Rates</t>
    </r>
    <r>
      <rPr>
        <sz val="10"/>
        <rFont val="Arial"/>
        <family val="2"/>
      </rPr>
      <t xml:space="preserve"> - This is made up two elements; an amount for estimated 2021/22 rates bills, and an adjustment for actual 2020/21 bills where we were able to obtain information. The figures for 2021/22 are estimates only, as final bills are not issued until March. The adjustment takes into account differences between last years estimate and now known figures. Any difference between 2021/22 estimates and actuals will be adjusted in the 2022/23 funding.  Academies do not receive funding in the GAG for rates, and claim in year for their bills, so the figures shown are purely for LA modelling purposes.</t>
    </r>
  </si>
  <si>
    <r>
      <t>Minimum Funding Guarantee Budget</t>
    </r>
    <r>
      <rPr>
        <sz val="10"/>
        <rFont val="Arial"/>
        <family val="2"/>
      </rPr>
      <t xml:space="preserve"> - This is determined by deducting the lump sum and the rates figures from the
2021/22 school budget share.  This figure is then divided by the pupil numbers on roll to arrive at the per pupil funding for 2021/22.  This is then compared to the per pupil funding for 2020/21 which has been uplifted to include the teachers pay and pension grants transferred into the schools budget. This effectively ensures that the grant transfer is protected at a per pupil level.</t>
    </r>
  </si>
  <si>
    <r>
      <t>Minimum Funding Guarantee Adjustment</t>
    </r>
    <r>
      <rPr>
        <sz val="10"/>
        <rFont val="Arial"/>
        <family val="2"/>
      </rPr>
      <t xml:space="preserve"> - The MFG is set at +0.5%. Effectively this ensures each school will gain, as a minimum, an increase of 0.5% per pupil funding when compared to the 2020/21 MFG Budget per pupil. The MFG percentage change indicates the impact on a schools funding, and the MFG Adjustment percentage reflects the difference between this and the assumption that each school should see an increase of 0.5% per pupil. Where the adjustment percentage figure is positive, the school will receive a MFG funding allocation, which is reflected in the MFG Adjustment row. Please note the total percentage difference year on year may be less than 0.5% as the MFG protects the per pupil amount, not pupil number variations.</t>
    </r>
  </si>
  <si>
    <r>
      <t>De-Delegation</t>
    </r>
    <r>
      <rPr>
        <sz val="10"/>
        <rFont val="Arial"/>
        <family val="2"/>
      </rPr>
      <t xml:space="preserve"> - This is only applicable to council maintained schools (i.e. not academies or free schools). Schools Forum have agreed to continue the de-delegation of funding for staff trade union duties. The figure shown is the amount that will be deducted from your schools baseline funding.</t>
    </r>
  </si>
  <si>
    <r>
      <t xml:space="preserve">Education Functions - </t>
    </r>
    <r>
      <rPr>
        <sz val="10"/>
        <rFont val="Arial"/>
        <family val="2"/>
      </rPr>
      <t>This is only applicable to council maintained schools (i.e. not academies or free schools). Schools Forum agreed to the de-delegation of funding for the Teachers Pensions Support &amp; Administration.</t>
    </r>
  </si>
  <si>
    <t>Other DSG Funding</t>
  </si>
  <si>
    <r>
      <rPr>
        <b/>
        <sz val="10"/>
        <rFont val="Arial"/>
        <family val="2"/>
      </rPr>
      <t>EYSFF (universal hours)</t>
    </r>
    <r>
      <rPr>
        <sz val="10"/>
        <rFont val="Arial"/>
        <family val="2"/>
      </rPr>
      <t xml:space="preserve"> - This indicative funding has been based on the actual nursery numbers in the May 19 (as there was no May 20 census), Oct 20, and Jan 21 census which is then multiplied by your hourly rate. The Early Years Funding Formula has been changed from 2020-21 with the universal base rate being increased to £4.98. The remainder of the EYSFF rate is made up of a deprivation factor (7%), based on average IDACI score for pupils attending your setting and an additional needs factor (2%) which targets those settings with higher than average IDACI scoring (the figure set is 0.25). The number of hours is an estimate and funding will be amended throughout the year based on actual uptake of the free entitlement.
</t>
    </r>
    <r>
      <rPr>
        <b/>
        <sz val="10"/>
        <rFont val="Arial"/>
        <family val="2"/>
      </rPr>
      <t xml:space="preserve">EYSFF (additional hours) - </t>
    </r>
    <r>
      <rPr>
        <sz val="10"/>
        <rFont val="Arial"/>
        <family val="2"/>
      </rPr>
      <t xml:space="preserve">If your school offered the additional 15 hours in 2020-21 then we have estimated full year funding for 2021-22. This estimate is based on the actual nursery numbers in the May 19, Oct 20, and Jan 21 census which is then multiplied by your hourly rate. This is an estimate and funding will be amended throughout the year based on actual uptake of the additional entitlement.
</t>
    </r>
  </si>
  <si>
    <r>
      <t xml:space="preserve">Growth Contingency - </t>
    </r>
    <r>
      <rPr>
        <sz val="10"/>
        <rFont val="Arial"/>
        <family val="2"/>
      </rPr>
      <t>This is a contingency of DSG funding held and managed by Schools Forum, which provides funding to those schools who take on an additional form of entry in September 2021. The rate per form of entry has been set at £74,981 for 2021/22. This is calculated by dividing the total AWPU funding for the year by the total number of pupils, multiplied by 30, and apportioned for 7/12ths of the year.  Academy schools will receive the remaining 5/12ths of this funding (at £48,943) which will fully fund the the academic year, as per the different financial year timings. These allocations were approved by Schools Forum at the January 2021 meeting.</t>
    </r>
  </si>
  <si>
    <r>
      <t xml:space="preserve">Top up (Low Incidence Statements) - </t>
    </r>
    <r>
      <rPr>
        <sz val="10"/>
        <rFont val="Arial"/>
        <family val="2"/>
      </rPr>
      <t>This is funding for named children with an EHCP, and is based on the current known children for your school as</t>
    </r>
    <r>
      <rPr>
        <sz val="10"/>
        <color rgb="FFFF0000"/>
        <rFont val="Arial"/>
        <family val="2"/>
      </rPr>
      <t xml:space="preserve"> </t>
    </r>
    <r>
      <rPr>
        <sz val="10"/>
        <rFont val="Arial"/>
        <family val="2"/>
      </rPr>
      <t xml:space="preserve">at January 2021. Adjustments have been made for September leavers where known.
</t>
    </r>
    <r>
      <rPr>
        <u/>
        <sz val="10"/>
        <rFont val="Arial"/>
        <family val="2"/>
      </rPr>
      <t>This figure will be adjusted throughout the year to reflect changes to actual children attending.</t>
    </r>
  </si>
  <si>
    <t>Other Grants (ESTIMATES) Maintained schools only</t>
  </si>
  <si>
    <t xml:space="preserve">
15</t>
  </si>
  <si>
    <r>
      <rPr>
        <b/>
        <sz val="10"/>
        <rFont val="Arial"/>
        <family val="2"/>
      </rPr>
      <t>From April 2021 onwards the Pupil Premium grant allocations will be based on the previous October census each year.</t>
    </r>
    <r>
      <rPr>
        <sz val="10"/>
        <rFont val="Arial"/>
        <family val="2"/>
      </rPr>
      <t xml:space="preserve">
Pupil Premium (Deprivation).   This is based on the number of children, who have been eligible at any census in the previous 6 years for free school meals.  The figures quoted are calculated using the FSM6 as recoded in the October 2020 census.  The rates for 2021/22 remain unchanged (£1,345 for Primary and £955 for Secondary). These allocations will be confirmed by the DfE in June, after which we will make an adjustment to your cash advance allocation where necessary'</t>
    </r>
  </si>
  <si>
    <t>Pupil Premium (Service Children) This is based on the number of children who have been recorded as a service child at any census in the last 6 years.  A service child is defined as one whose parents or guardian are a member of the British Armed Forces.   The estimates are taken from last year's allocation and any potential adjustment to cash balances are on the same basis as above.</t>
  </si>
  <si>
    <t>Pupil Premium (Post LAC) This is based on the number of children who have been adopted from care after 2005, or left care under a special guardianship order after 1991.  In 2021/22 the per pupil rates remain at £2,345.  The estimates are taken from last year's allocation and any potential adjustment to cash balances are on the same basis as above.</t>
  </si>
  <si>
    <t>Grants information (DfE/ESFA):</t>
  </si>
  <si>
    <t>Teachers Pay Grant (TPG) and Teachers Pension Employers Contribution Grant (TPECG) for Maintained nursery schools, school nurseries, sixth forms, 16 to 19 schools will continue.  Funding has not been transferred into the core funding for these institutions.  The grant rates and allocations will be announced in April 2021.</t>
  </si>
  <si>
    <t>PE and Sports Grant This is the final part of the academic year 2020/21 grant, due in May '21. There is current uncertainty as to whether this grant will continue from September '21 and therefore we have just included the final payment of the 2020/21 academic year allocation.</t>
  </si>
  <si>
    <t>Universal Infant Free School Meals (UIFSM) This is an academic year grant, therefore your financial year allocation will be made up of 2 amounts - the final estimated payment for the academic year 2020/21 and the first estimated payment for academic year 2021/22.  These figures are based on the latest allocations form the DfE (initial 2020/21 allocation at £2.34 per meal). Those schools that have had a significant reduction in reception roll (over -10%) will have this reflected in the estimate.  The final figures will be issued by the DfE in June, after which we will make an amendment to your cash advance allocation where necessary</t>
  </si>
  <si>
    <t>21 &amp; 22</t>
  </si>
  <si>
    <r>
      <rPr>
        <b/>
        <sz val="10"/>
        <rFont val="Arial"/>
        <family val="2"/>
      </rPr>
      <t xml:space="preserve">16-19 Revenue Funding - </t>
    </r>
    <r>
      <rPr>
        <sz val="10"/>
        <rFont val="Arial"/>
        <family val="2"/>
      </rPr>
      <t>Allocations for Apr '21-Jul '21 and Aug '21-Mar '22 as per information from the ESFA</t>
    </r>
  </si>
  <si>
    <r>
      <t xml:space="preserve">DFC - </t>
    </r>
    <r>
      <rPr>
        <sz val="10"/>
        <rFont val="Arial"/>
        <family val="2"/>
      </rPr>
      <t>As soon as we receive the Devolved Formula Capital allocations for 2021/22 from the DfE we will communicate this to schools and make the necessary adjustment to your funding through the cash advance.</t>
    </r>
  </si>
  <si>
    <t>Individual School Budget 2021-22</t>
  </si>
  <si>
    <t>Select School</t>
  </si>
  <si>
    <t>Bishopshalt School</t>
  </si>
  <si>
    <t>DfE no.</t>
  </si>
  <si>
    <t>select school</t>
  </si>
  <si>
    <t>Barnhill Community High</t>
  </si>
  <si>
    <t>Unit Value</t>
  </si>
  <si>
    <t>Units</t>
  </si>
  <si>
    <t>Total value</t>
  </si>
  <si>
    <t>Notes</t>
  </si>
  <si>
    <t>Belmore Nursery and Primary School</t>
  </si>
  <si>
    <t>AWPU Primary</t>
  </si>
  <si>
    <t>Bishop Ramsey CE School</t>
  </si>
  <si>
    <t>AWPU KS3</t>
  </si>
  <si>
    <t>AWPU KS4</t>
  </si>
  <si>
    <t>Botwell House Catholic Primary School</t>
  </si>
  <si>
    <t>AWPU Total</t>
  </si>
  <si>
    <t>Bourne Primary School</t>
  </si>
  <si>
    <t>Brookside Primary School</t>
  </si>
  <si>
    <t>Deprivation - Primary FSM6</t>
  </si>
  <si>
    <t>BWI CE Primary School</t>
  </si>
  <si>
    <t>Deprivation - Secondary FSM6</t>
  </si>
  <si>
    <t>Charville Primary School</t>
  </si>
  <si>
    <t>Deprivation - Primary IDACI Band F</t>
  </si>
  <si>
    <t>Cherry Lane Primary</t>
  </si>
  <si>
    <t>Deprivation - Primary IDACI Band E</t>
  </si>
  <si>
    <t>Colham Manor Primary School</t>
  </si>
  <si>
    <t>Deprivation - Primary IDACI Band D</t>
  </si>
  <si>
    <t>Coteford Infant School</t>
  </si>
  <si>
    <t>Deprivation - Primary IDACI Band C</t>
  </si>
  <si>
    <t>Coteford Junior School</t>
  </si>
  <si>
    <t>Deprivation - Primary IDACI Band B</t>
  </si>
  <si>
    <t>Cowley St. Laurence CE Primary</t>
  </si>
  <si>
    <t>Deprivation - Primary IDACI Band A</t>
  </si>
  <si>
    <t xml:space="preserve">Cranford Park Primary </t>
  </si>
  <si>
    <t>Deprivation - Secondary IDACI Band F</t>
  </si>
  <si>
    <t>De Salis Studio College</t>
  </si>
  <si>
    <t>Deprivation - Secondary IDACI Band E</t>
  </si>
  <si>
    <t>Deanesfield Primary School</t>
  </si>
  <si>
    <t>Deprivation - Secondary IDACI Band D</t>
  </si>
  <si>
    <t>Dr. Triplett's C.E. Primary</t>
  </si>
  <si>
    <t>Deprivation - Secondary IDACI Band C</t>
  </si>
  <si>
    <t>Field End Infant School</t>
  </si>
  <si>
    <t>Deprivation - Secondary IDACI Band B</t>
  </si>
  <si>
    <t>Field End Junior School</t>
  </si>
  <si>
    <t>Deprivation - Secondary IDACI Band A</t>
  </si>
  <si>
    <t>Frithwood Primary School</t>
  </si>
  <si>
    <t>EAL Primary</t>
  </si>
  <si>
    <t>Glebe Primary School</t>
  </si>
  <si>
    <t>EAL Secondary</t>
  </si>
  <si>
    <t>Grange Park Infant School</t>
  </si>
  <si>
    <t xml:space="preserve">Prior Attainment Primary </t>
  </si>
  <si>
    <t>NS</t>
  </si>
  <si>
    <t>Grange Park Junior School</t>
  </si>
  <si>
    <t>Prior Attainment Secondary</t>
  </si>
  <si>
    <t>Guru Nanak Sikh Academy</t>
  </si>
  <si>
    <t>Mobility Primary</t>
  </si>
  <si>
    <t>Harefield Infant School</t>
  </si>
  <si>
    <t>Mobility Secondary</t>
  </si>
  <si>
    <t>Harefield Junior School</t>
  </si>
  <si>
    <t>AEN Total</t>
  </si>
  <si>
    <t>Harlington School</t>
  </si>
  <si>
    <t>Harlyn Primary School</t>
  </si>
  <si>
    <t>Lump Sum</t>
  </si>
  <si>
    <t>Harmondsworth Primary School</t>
  </si>
  <si>
    <t>Rates</t>
  </si>
  <si>
    <t>Haydon School</t>
  </si>
  <si>
    <t>Adjustment to 20-21 rates</t>
  </si>
  <si>
    <t>Hayes Park</t>
  </si>
  <si>
    <t>Split Site</t>
  </si>
  <si>
    <t>Heathrow Aviation Engineering UTC</t>
  </si>
  <si>
    <t>PFI</t>
  </si>
  <si>
    <t>Heathrow Primary School</t>
  </si>
  <si>
    <t>Adjustments to 20-21 budget shares</t>
  </si>
  <si>
    <t>Hermitage Primary School</t>
  </si>
  <si>
    <t>School Factors Total</t>
  </si>
  <si>
    <t>Hewens College</t>
  </si>
  <si>
    <t>Hewens Primary School</t>
  </si>
  <si>
    <t>Total</t>
  </si>
  <si>
    <t>Highfield Primary School</t>
  </si>
  <si>
    <t>Hillingdon Primary School</t>
  </si>
  <si>
    <t>MFG Budget</t>
  </si>
  <si>
    <t>Hillside Infant School</t>
  </si>
  <si>
    <t>MFG Unit Value 21/22</t>
  </si>
  <si>
    <t>Hillside Junior School</t>
  </si>
  <si>
    <t>MFG Unit Value 20/21</t>
  </si>
  <si>
    <t>Holy Trinity C. of E. Primary</t>
  </si>
  <si>
    <t>MFG % Change</t>
  </si>
  <si>
    <t>John Locke Academy</t>
  </si>
  <si>
    <t>MFG Adjustment %</t>
  </si>
  <si>
    <t>Lady Bankes Infant School</t>
  </si>
  <si>
    <t xml:space="preserve">MFG Adjustment </t>
  </si>
  <si>
    <t>Lady Bankes Junior School</t>
  </si>
  <si>
    <t>Post MFG Budget</t>
  </si>
  <si>
    <t>Lake Farm Park Academy</t>
  </si>
  <si>
    <t>Laurel Lane Primary School</t>
  </si>
  <si>
    <t>De-delegation</t>
  </si>
  <si>
    <t>Minet Infant School</t>
  </si>
  <si>
    <t>Education Functions</t>
  </si>
  <si>
    <t>Minet Junior School</t>
  </si>
  <si>
    <t>Nanaksar Primary School</t>
  </si>
  <si>
    <t>CFR I01</t>
  </si>
  <si>
    <t>Final DSG Schools Block Budget</t>
  </si>
  <si>
    <t>Newnham Infant School</t>
  </si>
  <si>
    <t>Newnham Junior School</t>
  </si>
  <si>
    <t xml:space="preserve">Other DSG funding </t>
  </si>
  <si>
    <t>Northwood School</t>
  </si>
  <si>
    <t>Oak Farm Infant School</t>
  </si>
  <si>
    <t>EYSFF (Universal 15 Hrs)</t>
  </si>
  <si>
    <t>Oak Farm Junior School</t>
  </si>
  <si>
    <t>EYSFF (Additional 15 Hrs)</t>
  </si>
  <si>
    <t>Oak Wood School</t>
  </si>
  <si>
    <t>Growth Contingency</t>
  </si>
  <si>
    <t>Park Academy West London</t>
  </si>
  <si>
    <t>Growth Contingency Academies (Apr 21-Aug 21)</t>
  </si>
  <si>
    <t>Parkside Studio College</t>
  </si>
  <si>
    <t>CFR I03</t>
  </si>
  <si>
    <t>Top up (Low incidence statements / excluding SRP's)</t>
  </si>
  <si>
    <t>Pinkwell Primary</t>
  </si>
  <si>
    <t>Queensmead School</t>
  </si>
  <si>
    <t>Rabbsfarm Primary School</t>
  </si>
  <si>
    <t>Rosedale College</t>
  </si>
  <si>
    <t>CFR I05</t>
  </si>
  <si>
    <t>Pupil Premium (Deprivation)</t>
  </si>
  <si>
    <t>Est</t>
  </si>
  <si>
    <t>Rosedale Primary School</t>
  </si>
  <si>
    <t>Pupil Premium (Service Children)</t>
  </si>
  <si>
    <t>Ruislip Gardens Primary School</t>
  </si>
  <si>
    <t>Pupil Premium (Post LAC)</t>
  </si>
  <si>
    <t>Ruislip High School</t>
  </si>
  <si>
    <t>TPG Nursery schools, school nurseries, sixth forms, 16 to 19 schools</t>
  </si>
  <si>
    <t>To follow</t>
  </si>
  <si>
    <t>Ryefield Primary School</t>
  </si>
  <si>
    <t>TPECG Nursery schools, school nurseries, sixth forms, 16 to 19 schools</t>
  </si>
  <si>
    <t>CFR I18</t>
  </si>
  <si>
    <t>PE and Sports Grant (Apr 21-Aug 21)</t>
  </si>
  <si>
    <t>Sacred Heart Catholic Primary School</t>
  </si>
  <si>
    <t>Universal Infant Free School Meals (UIFSM)</t>
  </si>
  <si>
    <t>CFR I02</t>
  </si>
  <si>
    <t>16-19 Revenue Funding (Apr 21-Jul 21)</t>
  </si>
  <si>
    <t>St Andrews CE Primary School</t>
  </si>
  <si>
    <t>16-19 Revenue Funding (Aug 21-Mar 22)</t>
  </si>
  <si>
    <t>St Bernadette Catholic Primary School</t>
  </si>
  <si>
    <t>St Martins CE Primary</t>
  </si>
  <si>
    <t>CFR CI01</t>
  </si>
  <si>
    <t>Devolved Formula Capital</t>
  </si>
  <si>
    <t>St Mary's Catholic Primary School</t>
  </si>
  <si>
    <t>St Matthews Primary School</t>
  </si>
  <si>
    <r>
      <rPr>
        <i/>
        <sz val="10"/>
        <rFont val="Arial"/>
        <family val="2"/>
      </rPr>
      <t xml:space="preserve">NS </t>
    </r>
    <r>
      <rPr>
        <sz val="10"/>
        <rFont val="Arial"/>
        <family val="2"/>
      </rPr>
      <t>: Notional SEN</t>
    </r>
  </si>
  <si>
    <t>St Swithun Wells Catholic Primary School</t>
  </si>
  <si>
    <t>St.Catherine Catholic Primary School</t>
  </si>
  <si>
    <t>Swakeleys School for Girls incorporating 6th Form @ Swakeleys</t>
  </si>
  <si>
    <t>The Breakspear School</t>
  </si>
  <si>
    <t>The Douay Martyrs School</t>
  </si>
  <si>
    <t>The Global Academy</t>
  </si>
  <si>
    <t>The Harefield Academy</t>
  </si>
  <si>
    <t>Uxbridge High School</t>
  </si>
  <si>
    <t>Vyners School</t>
  </si>
  <si>
    <t>Warrender Primary School</t>
  </si>
  <si>
    <t>West Drayton Academy</t>
  </si>
  <si>
    <t>Whitehall Infant School</t>
  </si>
  <si>
    <t>Whitehall Junior School</t>
  </si>
  <si>
    <t>Whiteheath Infant School</t>
  </si>
  <si>
    <t>Whiteheath Junior School</t>
  </si>
  <si>
    <t>William Byrd Primary Academy</t>
  </si>
  <si>
    <t>Wood End Park Community</t>
  </si>
  <si>
    <t>Yeading Infant School</t>
  </si>
  <si>
    <t>Yeading Junior School</t>
  </si>
  <si>
    <t>all schools</t>
  </si>
  <si>
    <t>all</t>
  </si>
  <si>
    <t>SCHOOLS BLOCK FORMULA 2021-22</t>
  </si>
  <si>
    <t>Non DSG grants - estimates maintained schools only</t>
  </si>
  <si>
    <t>DfE</t>
  </si>
  <si>
    <t>School Name</t>
  </si>
  <si>
    <t>NOR</t>
  </si>
  <si>
    <t>NOR Primary</t>
  </si>
  <si>
    <t>NOR Secondary</t>
  </si>
  <si>
    <t>NOR KS3</t>
  </si>
  <si>
    <t>NOR KS4</t>
  </si>
  <si>
    <t>Deprivation - Primary FSM 6</t>
  </si>
  <si>
    <t>Deprivation - Secondary FSM 6</t>
  </si>
  <si>
    <t>Deprivation (IDACI) Band F Primary</t>
  </si>
  <si>
    <t>Deprivation (IDACI) Band E Primary</t>
  </si>
  <si>
    <t>Deprivation (IDACI) Band D Primary</t>
  </si>
  <si>
    <t>Deprivation (IDACI) Band C Primary</t>
  </si>
  <si>
    <t>Deprivation (IDACI) Band B Primary</t>
  </si>
  <si>
    <t>Deprivation (IDACI) Band A Primary</t>
  </si>
  <si>
    <t>Deprivation (IDACI) Band F Secondary</t>
  </si>
  <si>
    <t>Deprivation (IDACI) Band E Secondary</t>
  </si>
  <si>
    <t>Deprivation (IDACI) Band D Secondary</t>
  </si>
  <si>
    <t>Deprivation (IDACI) Band C Secondary</t>
  </si>
  <si>
    <t>Deprivation (IDACI) Band B Secondary</t>
  </si>
  <si>
    <t>Deprivation (IDACI) Band A Secondary</t>
  </si>
  <si>
    <t>EAL 3 Primary</t>
  </si>
  <si>
    <t>EAL 3 Secondary</t>
  </si>
  <si>
    <t>Low Att Pri</t>
  </si>
  <si>
    <t>Low Att Sec</t>
  </si>
  <si>
    <t>Mobility Pri</t>
  </si>
  <si>
    <t>Mobility Sec</t>
  </si>
  <si>
    <t>Deprivation (FSM Ever 6) Primary</t>
  </si>
  <si>
    <t>Deprivation (FSM Ever 6) Secondary</t>
  </si>
  <si>
    <t>EAL (P)</t>
  </si>
  <si>
    <t>EAL (S)</t>
  </si>
  <si>
    <t>Low Attainment (P)</t>
  </si>
  <si>
    <t>Low Attainment (S)</t>
  </si>
  <si>
    <t>Mobility (P)</t>
  </si>
  <si>
    <t>Mobility (S)</t>
  </si>
  <si>
    <t>21-22 rates</t>
  </si>
  <si>
    <t>20-21 rates adjustment</t>
  </si>
  <si>
    <t>Split Sites</t>
  </si>
  <si>
    <t>Adjustment to 21-22 budget share</t>
  </si>
  <si>
    <t>School factors total</t>
  </si>
  <si>
    <t>Notional SEN allocation</t>
  </si>
  <si>
    <t>Total Allocation</t>
  </si>
  <si>
    <t>21-22 MFG Budget</t>
  </si>
  <si>
    <t>21-22 MFG Unit Value</t>
  </si>
  <si>
    <t>20-21 MFG Unit Value</t>
  </si>
  <si>
    <t>MFG % change</t>
  </si>
  <si>
    <t>MFG Value adjustment</t>
  </si>
  <si>
    <t>21-22 MFG Adjustment</t>
  </si>
  <si>
    <t>Dedelegation</t>
  </si>
  <si>
    <t>Education functions</t>
  </si>
  <si>
    <t>Post de-delegation budget</t>
  </si>
  <si>
    <t>EYSFF</t>
  </si>
  <si>
    <t>EYSFF (Additional)</t>
  </si>
  <si>
    <t>Growth Contingency Academies April-Aug 20</t>
  </si>
  <si>
    <t>Top up (Low incidence statements)</t>
  </si>
  <si>
    <t>Pupil Premium-Deprivation</t>
  </si>
  <si>
    <t>Pupil Premium - Service Children</t>
  </si>
  <si>
    <t>Pupil Premium - Post LAC</t>
  </si>
  <si>
    <t>TPG
(pre 4 &amp; post 16)</t>
  </si>
  <si>
    <t>TPECG 
(pre 4 &amp; post 16)</t>
  </si>
  <si>
    <t>PE and Sports</t>
  </si>
  <si>
    <t>UIFSM</t>
  </si>
  <si>
    <t>DFC</t>
  </si>
  <si>
    <t>ESFA Sixth form (Apr 21-Jul 21)</t>
  </si>
  <si>
    <t>ESFA Sixth form (Aug 21-Mar 22)</t>
  </si>
  <si>
    <t>Mcmillan Nursery</t>
  </si>
  <si>
    <t>Bishop Winnington-Ingram CE Primary School</t>
  </si>
  <si>
    <t>Pinkwell Primary School</t>
  </si>
  <si>
    <t>EYFF FUNDING 2021/22</t>
  </si>
  <si>
    <t>Universal Hours</t>
  </si>
  <si>
    <t>Additional Hours</t>
  </si>
  <si>
    <t>Base rate</t>
  </si>
  <si>
    <t>Deprivation</t>
  </si>
  <si>
    <t>Additional Needs</t>
  </si>
  <si>
    <t>Funding</t>
  </si>
  <si>
    <t>DfE No.</t>
  </si>
  <si>
    <t>School</t>
  </si>
  <si>
    <t>Summer Hrs (actual Sum '20)</t>
  </si>
  <si>
    <t>Autumn Hours (actual Aut '20)</t>
  </si>
  <si>
    <t>Spring Hours (actual Spr '21)</t>
  </si>
  <si>
    <t>Total Universal Hours</t>
  </si>
  <si>
    <t>Total Additional Hours</t>
  </si>
  <si>
    <t>Base rate per hour</t>
  </si>
  <si>
    <t>IDACI score</t>
  </si>
  <si>
    <t>IDACI weighting</t>
  </si>
  <si>
    <t>IDACI funding</t>
  </si>
  <si>
    <t>Deprivation per hour</t>
  </si>
  <si>
    <t>Above 0.25 threshold?</t>
  </si>
  <si>
    <t>Hourly rate</t>
  </si>
  <si>
    <t>IDACI Threshold</t>
  </si>
  <si>
    <t>Total hourly rate</t>
  </si>
  <si>
    <t>Total Universal Hours Funding</t>
  </si>
  <si>
    <t>Total Additional Hours Funding</t>
  </si>
  <si>
    <t>Total Funding</t>
  </si>
  <si>
    <t>Lump sum (MNS)</t>
  </si>
  <si>
    <t>Y</t>
  </si>
  <si>
    <t>Belmore Primary</t>
  </si>
  <si>
    <t>Botwell House RC Primary</t>
  </si>
  <si>
    <t>Bourne Primary</t>
  </si>
  <si>
    <t>N</t>
  </si>
  <si>
    <t>Brookside Primary</t>
  </si>
  <si>
    <t>BWI CE Primary</t>
  </si>
  <si>
    <t>Charville Primary</t>
  </si>
  <si>
    <t>Colham Manor Primary</t>
  </si>
  <si>
    <t>Coteford Infant</t>
  </si>
  <si>
    <t>Cowley St Laurence</t>
  </si>
  <si>
    <t>Cranford Park Primary</t>
  </si>
  <si>
    <t>Deanesfield Primary</t>
  </si>
  <si>
    <t>Dr Tripletts CE</t>
  </si>
  <si>
    <t>Field End Infant</t>
  </si>
  <si>
    <t>Frithwood Primary</t>
  </si>
  <si>
    <t>Glebe Primary</t>
  </si>
  <si>
    <t>Grange Park Infant</t>
  </si>
  <si>
    <t>Harefield Infant</t>
  </si>
  <si>
    <t>Harlyn Primary</t>
  </si>
  <si>
    <t>Harmondsworth Primary</t>
  </si>
  <si>
    <t>Hayes Park Primary</t>
  </si>
  <si>
    <t>Heathrow Primary</t>
  </si>
  <si>
    <t>Hermitage Primary</t>
  </si>
  <si>
    <t>Hewens Primary</t>
  </si>
  <si>
    <t>Highfield Primary</t>
  </si>
  <si>
    <t>Hillingdon Primary</t>
  </si>
  <si>
    <t>Hillside Infant</t>
  </si>
  <si>
    <t>Holy Trinity CE Primary</t>
  </si>
  <si>
    <t>John Locke</t>
  </si>
  <si>
    <t>Lady Bankes Infant</t>
  </si>
  <si>
    <t>Lake Farm Park</t>
  </si>
  <si>
    <t>Laurel Lane Primary</t>
  </si>
  <si>
    <t>Minet Infant</t>
  </si>
  <si>
    <t>Newnham Infant</t>
  </si>
  <si>
    <t>Oak Farm Infant</t>
  </si>
  <si>
    <t>Rabbsfarm Primary</t>
  </si>
  <si>
    <t>Ruislip Gardens Primary</t>
  </si>
  <si>
    <t>Ryefield Primary</t>
  </si>
  <si>
    <t>Sacred Heart RC Primary</t>
  </si>
  <si>
    <t>St Andrew's CE Primary</t>
  </si>
  <si>
    <t>St Bernadette's RC Primary</t>
  </si>
  <si>
    <t>St Catherine's RC Primary</t>
  </si>
  <si>
    <t>St Martins</t>
  </si>
  <si>
    <t>St Mary's RC Primary</t>
  </si>
  <si>
    <t>St Matthew's CE Primary</t>
  </si>
  <si>
    <t>St Swithun Wells RC Primary</t>
  </si>
  <si>
    <t>Warrender Primary</t>
  </si>
  <si>
    <t>West Drayton Primary</t>
  </si>
  <si>
    <t>Whitehall Infant</t>
  </si>
  <si>
    <t>Whiteheath Infant</t>
  </si>
  <si>
    <t>William Byrd Primary</t>
  </si>
  <si>
    <t>Yeading Infant</t>
  </si>
  <si>
    <t>Wood End Park</t>
  </si>
  <si>
    <t>EYSFF Calculator</t>
  </si>
  <si>
    <t>Term</t>
  </si>
  <si>
    <t>Summer</t>
  </si>
  <si>
    <t>Autumn</t>
  </si>
  <si>
    <t>Spring</t>
  </si>
  <si>
    <t>Budgeted Hours</t>
  </si>
  <si>
    <t>Budgeted no. of children</t>
  </si>
  <si>
    <t>Original Budget April '21</t>
  </si>
  <si>
    <t>Estimated no. of children</t>
  </si>
  <si>
    <t>Estimated no. of hours</t>
  </si>
  <si>
    <t>Estimated funding</t>
  </si>
  <si>
    <t>Adjustment to budget</t>
  </si>
  <si>
    <t>McMillan</t>
  </si>
  <si>
    <t>How to use the EYSFF Calculator</t>
  </si>
  <si>
    <t>1. Select your school from the drop-down box</t>
  </si>
  <si>
    <t>2. The tables will populate with the budgeted EYSFF hours and funding for your school</t>
  </si>
  <si>
    <t>3. If you wish to adjust the number of pupils for a term, enter the new figure in the box highlighted yellow for the term you wish to change</t>
  </si>
  <si>
    <t>4. This will automatically calculate the revised funding estimate and the adjustment needed for your budgeting purpose</t>
  </si>
  <si>
    <t>5. Please note, this is just for your budgeting purposes and will not impact on the EYSFF funding for your school which will be adjusted based on actual numbers as in previous years</t>
  </si>
  <si>
    <t>School:</t>
  </si>
  <si>
    <t>MCMILLAN NURSERY EYSFF  BUDGET 2021-22</t>
  </si>
  <si>
    <t>INDICATIVE</t>
  </si>
  <si>
    <t>Hourly Rate</t>
  </si>
  <si>
    <t>Allocation</t>
  </si>
  <si>
    <t>(£ / hour)</t>
  </si>
  <si>
    <t>£</t>
  </si>
  <si>
    <t>Maintained Nursery School lump sum</t>
  </si>
  <si>
    <t>Base</t>
  </si>
  <si>
    <t>IDACI</t>
  </si>
  <si>
    <t>Total Hourly Rate</t>
  </si>
  <si>
    <t>Projected Universal Hours</t>
  </si>
  <si>
    <t>Projected Additional Hours</t>
  </si>
  <si>
    <t>EYSFF Funding of Projected Hours (Projected Hours × Total Hourly Rate)</t>
  </si>
  <si>
    <t>Total EYSFF Funding</t>
  </si>
  <si>
    <t>SEN TOP UP Funding</t>
  </si>
  <si>
    <t>Grant Funding</t>
  </si>
  <si>
    <t>Teachers Pay Grant (TPG)</t>
  </si>
  <si>
    <t>Teachers Pension Employers Contribution Grant (TPECG)</t>
  </si>
  <si>
    <t>EYSFF INDICATIVE BUDGET 2021-22</t>
  </si>
  <si>
    <t>Base rate funding</t>
  </si>
  <si>
    <t>Deprivation supplement</t>
  </si>
  <si>
    <t>Additional needs supplement</t>
  </si>
  <si>
    <t>Percentage of funding</t>
  </si>
  <si>
    <t>Provider</t>
  </si>
  <si>
    <t>Type</t>
  </si>
  <si>
    <t>Summer 19 Hours Actual</t>
  </si>
  <si>
    <t>Autumn 19 Hours Actual</t>
  </si>
  <si>
    <t>Spring 20 Hours Actual</t>
  </si>
  <si>
    <t>Total Hours</t>
  </si>
  <si>
    <t>Base rate per hour (£)</t>
  </si>
  <si>
    <t>Base rate funding (£)</t>
  </si>
  <si>
    <t>Deprivation per hour (£)</t>
  </si>
  <si>
    <t>IDACI funding (£)</t>
  </si>
  <si>
    <t>Hourly rate (£)</t>
  </si>
  <si>
    <t>IDACI Threshold (£)</t>
  </si>
  <si>
    <t>Total hourly rate (£)</t>
  </si>
  <si>
    <t>Total Budget Funding (£)</t>
  </si>
  <si>
    <t>Lump sum (£)</t>
  </si>
  <si>
    <t>eligible for 85% threshold</t>
  </si>
  <si>
    <t>EYSFF ADDITIONAL 15 HOURS BUDGET 2020/21</t>
  </si>
  <si>
    <t>Total Funding available</t>
  </si>
  <si>
    <t>Budget Hours</t>
  </si>
  <si>
    <t>Rate per hour</t>
  </si>
  <si>
    <t>Summer Hours</t>
  </si>
  <si>
    <t>Autumn Hours</t>
  </si>
  <si>
    <t>Spring Hours</t>
  </si>
  <si>
    <t>Total Budget Funding</t>
  </si>
  <si>
    <t>Original Budget April '20</t>
  </si>
  <si>
    <t>West london academy renamed - West Drayton and William Byrd moved</t>
  </si>
  <si>
    <t>notes updated but need checking</t>
  </si>
  <si>
    <t>Copy and pasted data from apt</t>
  </si>
  <si>
    <t>Copies awpu, idaci, attain, mob rates across</t>
  </si>
  <si>
    <t xml:space="preserve">Deprivation rate changed </t>
  </si>
  <si>
    <t>MFG values copied</t>
  </si>
  <si>
    <t>EYSFF three terms hours values pasted</t>
  </si>
  <si>
    <t>idaci avg copied</t>
  </si>
  <si>
    <t>name changes</t>
  </si>
  <si>
    <t>eal formula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</si>
</sst>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7" formatCode="&quot;£&quot;#,##0.00;\-&quot;£&quot;#,##0.0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_(* #,##0.00_);_(* \(#,##0.00\);_(* &quot;-&quot;??_);_(@_)"/>
    <numFmt numFmtId="165" formatCode="0.0"/>
    <numFmt numFmtId="166" formatCode="#,##0_ ;\-#,##0\ "/>
    <numFmt numFmtId="167" formatCode="\$#,##0\ ;\(\$#,##0\)"/>
    <numFmt numFmtId="168" formatCode="_(&quot;£&quot;* #,##0.00_);_(&quot;£&quot;* \(#,##0.00\);_(&quot;£&quot;* &quot;-&quot;??_);_(@_)"/>
    <numFmt numFmtId="169" formatCode="&quot;£&quot;#,##0"/>
    <numFmt numFmtId="170" formatCode="_-&quot;£&quot;* #,##0_-;\-&quot;£&quot;* #,##0_-;_-&quot;£&quot;* &quot;-&quot;??_-;_-@_-"/>
    <numFmt numFmtId="171" formatCode="_-* #,##0_-;\-* #,##0_-;_-* &quot;-&quot;??_-;_-@_-"/>
    <numFmt numFmtId="172" formatCode="0.0000"/>
    <numFmt numFmtId="173" formatCode="#,##0.0000"/>
    <numFmt numFmtId="174" formatCode="_-* #,##0.0_-;\-* #,##0.0_-;_-* &quot;-&quot;??_-;_-@_-"/>
    <numFmt numFmtId="175" formatCode="&quot;£&quot;#,##0.00"/>
    <numFmt numFmtId="176" formatCode="0.000"/>
  </numFmts>
  <fonts count="58" x14ac:knownFonts="1">
    <font>
      <sz val="10"/>
      <name val="Arial"/>
    </font>
    <font>
      <sz val="10"/>
      <name val="Arial"/>
      <family val="2"/>
    </font>
    <font>
      <sz val="8"/>
      <name val="Arial"/>
      <family val="2"/>
    </font>
    <font>
      <sz val="10"/>
      <name val="Arial"/>
      <family val="2"/>
    </font>
    <font>
      <b/>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24"/>
      <name val="Arial"/>
      <family val="2"/>
    </font>
    <font>
      <b/>
      <u/>
      <sz val="14"/>
      <color indexed="24"/>
      <name val="Times New Roman"/>
      <family val="1"/>
    </font>
    <font>
      <b/>
      <sz val="10"/>
      <color indexed="1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24"/>
      <name val="Times New Roman"/>
      <family val="1"/>
    </font>
    <font>
      <b/>
      <sz val="10"/>
      <color indexed="24"/>
      <name val="Times New Roman"/>
      <family val="1"/>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8"/>
      <color indexed="56"/>
      <name val="Cambria"/>
      <family val="2"/>
    </font>
    <font>
      <b/>
      <sz val="11"/>
      <color indexed="8"/>
      <name val="Calibri"/>
      <family val="2"/>
    </font>
    <font>
      <sz val="11"/>
      <color indexed="10"/>
      <name val="Calibri"/>
      <family val="2"/>
    </font>
    <font>
      <u/>
      <sz val="10"/>
      <name val="Arial"/>
      <family val="2"/>
    </font>
    <font>
      <b/>
      <u/>
      <sz val="12"/>
      <name val="Arial"/>
      <family val="2"/>
    </font>
    <font>
      <b/>
      <sz val="12"/>
      <name val="Arial"/>
      <family val="2"/>
    </font>
    <font>
      <sz val="9"/>
      <name val="Arial"/>
      <family val="2"/>
    </font>
    <font>
      <b/>
      <u/>
      <sz val="14"/>
      <name val="Arial"/>
      <family val="2"/>
    </font>
    <font>
      <b/>
      <u/>
      <sz val="10"/>
      <name val="Arial"/>
      <family val="2"/>
    </font>
    <font>
      <sz val="8"/>
      <color indexed="72"/>
      <name val="MS Sans Serif"/>
      <family val="2"/>
    </font>
    <font>
      <sz val="11"/>
      <color theme="1"/>
      <name val="Calibri"/>
      <family val="2"/>
      <scheme val="minor"/>
    </font>
    <font>
      <sz val="12"/>
      <color theme="1"/>
      <name val="Arial"/>
      <family val="2"/>
    </font>
    <font>
      <b/>
      <u/>
      <sz val="16"/>
      <color theme="1"/>
      <name val="Calibri"/>
      <family val="2"/>
      <scheme val="minor"/>
    </font>
    <font>
      <i/>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1"/>
      <name val="Arial"/>
      <family val="2"/>
    </font>
    <font>
      <b/>
      <u/>
      <sz val="16"/>
      <name val="Arial"/>
      <family val="2"/>
    </font>
    <font>
      <b/>
      <u/>
      <sz val="10"/>
      <color theme="1"/>
      <name val="Arial"/>
      <family val="2"/>
    </font>
    <font>
      <i/>
      <sz val="10"/>
      <color theme="1"/>
      <name val="Arial"/>
      <family val="2"/>
    </font>
    <font>
      <b/>
      <i/>
      <sz val="10"/>
      <color theme="1"/>
      <name val="Arial"/>
      <family val="2"/>
    </font>
    <font>
      <b/>
      <u/>
      <sz val="11"/>
      <color theme="1"/>
      <name val="Calibri"/>
      <family val="2"/>
      <scheme val="minor"/>
    </font>
    <font>
      <sz val="10"/>
      <color rgb="FFFF0000"/>
      <name val="Arial"/>
      <family val="2"/>
    </font>
    <font>
      <b/>
      <sz val="10"/>
      <color rgb="FFFF0000"/>
      <name val="Arial"/>
      <family val="2"/>
    </font>
    <font>
      <sz val="10"/>
      <name val="Arial"/>
      <family val="2"/>
    </font>
    <font>
      <i/>
      <sz val="9"/>
      <name val="Arial"/>
      <family val="2"/>
    </font>
    <font>
      <i/>
      <sz val="10"/>
      <name val="Arial"/>
      <family val="2"/>
    </font>
    <font>
      <sz val="24"/>
      <color rgb="FFFF0000"/>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gray0625">
        <fgColor indexed="22"/>
      </patternFill>
    </fill>
    <fill>
      <patternFill patternType="solid">
        <fgColor indexed="13"/>
        <bgColor indexed="64"/>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7" tint="0.39994506668294322"/>
        <bgColor indexed="64"/>
      </patternFill>
    </fill>
    <fill>
      <patternFill patternType="solid">
        <fgColor theme="9" tint="-0.249977111117893"/>
        <bgColor indexed="64"/>
      </patternFill>
    </fill>
    <fill>
      <patternFill patternType="solid">
        <fgColor theme="0" tint="-0.14999847407452621"/>
        <bgColor indexed="64"/>
      </patternFill>
    </fill>
  </fills>
  <borders count="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23"/>
      </top>
      <bottom style="medium">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ck">
        <color indexed="64"/>
      </top>
      <bottom style="double">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ck">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64"/>
      </top>
      <bottom style="double">
        <color indexed="64"/>
      </bottom>
      <diagonal/>
    </border>
    <border>
      <left style="thick">
        <color indexed="64"/>
      </left>
      <right style="thick">
        <color indexed="64"/>
      </right>
      <top style="thin">
        <color indexed="64"/>
      </top>
      <bottom/>
      <diagonal/>
    </border>
    <border>
      <left/>
      <right/>
      <top style="thin">
        <color indexed="64"/>
      </top>
      <bottom style="thin">
        <color indexed="64"/>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s>
  <cellStyleXfs count="99">
    <xf numFmtId="0" fontId="0" fillId="0" borderId="0"/>
    <xf numFmtId="0" fontId="1" fillId="0" borderId="0"/>
    <xf numFmtId="0" fontId="1"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3" fontId="11" fillId="0" borderId="0" applyFont="0" applyFill="0" applyBorder="0" applyAlignment="0" applyProtection="0"/>
    <xf numFmtId="0" fontId="12" fillId="0" borderId="0" applyNumberFormat="0" applyFill="0" applyBorder="0" applyAlignment="0" applyProtection="0"/>
    <xf numFmtId="8" fontId="13" fillId="0" borderId="3" applyFont="0" applyBorder="0" applyAlignment="0">
      <alignment horizontal="center"/>
    </xf>
    <xf numFmtId="44" fontId="1" fillId="0" borderId="0" applyFont="0" applyFill="0" applyBorder="0" applyAlignment="0" applyProtection="0"/>
    <xf numFmtId="44" fontId="1"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168" fontId="1" fillId="0" borderId="0" applyFont="0" applyFill="0" applyBorder="0" applyAlignment="0" applyProtection="0"/>
    <xf numFmtId="44" fontId="39" fillId="0" borderId="0" applyFont="0" applyFill="0" applyBorder="0" applyAlignment="0" applyProtection="0"/>
    <xf numFmtId="168" fontId="1" fillId="0" borderId="0" applyFont="0" applyFill="0" applyBorder="0" applyAlignment="0" applyProtection="0"/>
    <xf numFmtId="167" fontId="11" fillId="0" borderId="0" applyFont="0" applyFill="0" applyBorder="0" applyAlignment="0" applyProtection="0"/>
    <xf numFmtId="0" fontId="11" fillId="0" borderId="0" applyFont="0" applyFill="0" applyBorder="0" applyAlignment="0" applyProtection="0"/>
    <xf numFmtId="0" fontId="14" fillId="0" borderId="0" applyNumberFormat="0" applyFill="0" applyBorder="0" applyAlignment="0" applyProtection="0"/>
    <xf numFmtId="2" fontId="11" fillId="0" borderId="0" applyFont="0" applyFill="0" applyBorder="0" applyAlignment="0" applyProtection="0"/>
    <xf numFmtId="0" fontId="15" fillId="4"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5" fillId="0" borderId="0">
      <alignment horizontal="left" vertical="center"/>
    </xf>
    <xf numFmtId="0" fontId="20" fillId="0" borderId="7" applyNumberFormat="0" applyFill="0" applyAlignment="0" applyProtection="0"/>
    <xf numFmtId="0" fontId="21" fillId="22" borderId="0" applyNumberFormat="0" applyBorder="0" applyAlignment="0" applyProtection="0"/>
    <xf numFmtId="0" fontId="6" fillId="0" borderId="0"/>
    <xf numFmtId="0" fontId="6" fillId="0" borderId="0"/>
    <xf numFmtId="0" fontId="1" fillId="0" borderId="0"/>
    <xf numFmtId="0" fontId="1" fillId="0" borderId="0"/>
    <xf numFmtId="0" fontId="38" fillId="0" borderId="0" applyAlignment="0">
      <alignment vertical="top" wrapText="1"/>
      <protection locked="0"/>
    </xf>
    <xf numFmtId="0" fontId="3" fillId="0" borderId="0"/>
    <xf numFmtId="0" fontId="1" fillId="0" borderId="0"/>
    <xf numFmtId="0" fontId="40" fillId="0" borderId="0"/>
    <xf numFmtId="0" fontId="39" fillId="0" borderId="0"/>
    <xf numFmtId="0" fontId="39" fillId="0" borderId="0"/>
    <xf numFmtId="0" fontId="1" fillId="0" borderId="0"/>
    <xf numFmtId="0" fontId="1" fillId="0" borderId="0"/>
    <xf numFmtId="0" fontId="39" fillId="0" borderId="0"/>
    <xf numFmtId="0" fontId="22" fillId="0" borderId="0">
      <alignment horizontal="right"/>
    </xf>
    <xf numFmtId="3" fontId="22" fillId="0" borderId="8"/>
    <xf numFmtId="3" fontId="22" fillId="0" borderId="9"/>
    <xf numFmtId="0" fontId="23" fillId="0" borderId="0">
      <alignment horizontal="left"/>
    </xf>
    <xf numFmtId="3" fontId="22" fillId="0" borderId="10">
      <alignment horizontal="right"/>
    </xf>
    <xf numFmtId="3" fontId="22" fillId="0" borderId="11"/>
    <xf numFmtId="0" fontId="1" fillId="23" borderId="12" applyNumberFormat="0" applyFont="0" applyAlignment="0" applyProtection="0"/>
    <xf numFmtId="3" fontId="5" fillId="0" borderId="0">
      <alignment horizontal="right"/>
    </xf>
    <xf numFmtId="0" fontId="24" fillId="20" borderId="13" applyNumberFormat="0" applyAlignment="0" applyProtection="0"/>
    <xf numFmtId="40" fontId="25" fillId="24" borderId="0">
      <alignment horizontal="right"/>
    </xf>
    <xf numFmtId="0" fontId="26" fillId="24" borderId="0">
      <alignment horizontal="right"/>
    </xf>
    <xf numFmtId="0" fontId="27" fillId="24" borderId="14"/>
    <xf numFmtId="0" fontId="27" fillId="0" borderId="0" applyBorder="0">
      <alignment horizontal="centerContinuous"/>
    </xf>
    <xf numFmtId="0" fontId="28" fillId="0" borderId="0" applyBorder="0">
      <alignment horizontal="centerContinuous"/>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3" fontId="23" fillId="25" borderId="15">
      <alignment horizontal="right"/>
    </xf>
    <xf numFmtId="3" fontId="23" fillId="25" borderId="8"/>
    <xf numFmtId="3" fontId="22" fillId="25" borderId="0">
      <alignment horizontal="right"/>
    </xf>
    <xf numFmtId="3" fontId="22" fillId="25" borderId="16"/>
    <xf numFmtId="0" fontId="23" fillId="25" borderId="0">
      <alignment horizontal="right"/>
    </xf>
    <xf numFmtId="3" fontId="23" fillId="25" borderId="17"/>
    <xf numFmtId="0" fontId="29" fillId="0" borderId="0" applyNumberFormat="0" applyFill="0" applyBorder="0" applyAlignment="0" applyProtection="0"/>
    <xf numFmtId="0" fontId="30" fillId="0" borderId="18" applyNumberFormat="0" applyFill="0" applyAlignment="0" applyProtection="0"/>
    <xf numFmtId="0" fontId="31" fillId="0" borderId="0" applyNumberFormat="0" applyFill="0" applyBorder="0" applyAlignment="0" applyProtection="0"/>
    <xf numFmtId="43" fontId="54" fillId="0" borderId="0" applyFont="0" applyFill="0" applyBorder="0" applyAlignment="0" applyProtection="0"/>
  </cellStyleXfs>
  <cellXfs count="444">
    <xf numFmtId="0" fontId="0" fillId="0" borderId="0" xfId="0"/>
    <xf numFmtId="44" fontId="0" fillId="0" borderId="0" xfId="39" applyFont="1"/>
    <xf numFmtId="44" fontId="0" fillId="0" borderId="0" xfId="0" applyNumberFormat="1"/>
    <xf numFmtId="0" fontId="4" fillId="0" borderId="0" xfId="0" applyFont="1"/>
    <xf numFmtId="2" fontId="0" fillId="0" borderId="0" xfId="0" applyNumberFormat="1"/>
    <xf numFmtId="1" fontId="0" fillId="0" borderId="0" xfId="0" applyNumberFormat="1"/>
    <xf numFmtId="0" fontId="4" fillId="0" borderId="20" xfId="0" applyFont="1" applyBorder="1"/>
    <xf numFmtId="0" fontId="4" fillId="26" borderId="19" xfId="0" applyFont="1" applyFill="1" applyBorder="1"/>
    <xf numFmtId="0" fontId="0" fillId="0" borderId="21" xfId="0" applyBorder="1"/>
    <xf numFmtId="44" fontId="0" fillId="0" borderId="21" xfId="0" applyNumberFormat="1" applyBorder="1"/>
    <xf numFmtId="44" fontId="0" fillId="0" borderId="21" xfId="39" applyFont="1" applyBorder="1"/>
    <xf numFmtId="0" fontId="0" fillId="0" borderId="22" xfId="0" applyBorder="1"/>
    <xf numFmtId="44" fontId="0" fillId="0" borderId="22" xfId="0" applyNumberFormat="1" applyBorder="1"/>
    <xf numFmtId="44" fontId="0" fillId="0" borderId="22" xfId="39" applyFont="1" applyBorder="1"/>
    <xf numFmtId="0" fontId="0" fillId="0" borderId="23" xfId="0" applyBorder="1"/>
    <xf numFmtId="44" fontId="0" fillId="0" borderId="23" xfId="0" applyNumberFormat="1" applyBorder="1"/>
    <xf numFmtId="44" fontId="0" fillId="0" borderId="23" xfId="39" applyFont="1" applyBorder="1"/>
    <xf numFmtId="0" fontId="4" fillId="0" borderId="23" xfId="0" applyFont="1" applyBorder="1"/>
    <xf numFmtId="0" fontId="4" fillId="0" borderId="24" xfId="0" applyFont="1" applyBorder="1"/>
    <xf numFmtId="44" fontId="4" fillId="0" borderId="24" xfId="39" applyFont="1" applyBorder="1"/>
    <xf numFmtId="10" fontId="0" fillId="0" borderId="22" xfId="86" applyNumberFormat="1" applyFont="1" applyBorder="1"/>
    <xf numFmtId="0" fontId="0" fillId="29" borderId="24" xfId="0" applyFill="1" applyBorder="1"/>
    <xf numFmtId="0" fontId="4" fillId="29" borderId="24" xfId="0" applyFont="1" applyFill="1" applyBorder="1"/>
    <xf numFmtId="0" fontId="4" fillId="26" borderId="34" xfId="0" applyFont="1" applyFill="1" applyBorder="1"/>
    <xf numFmtId="0" fontId="4" fillId="26" borderId="35" xfId="0" applyFont="1" applyFill="1" applyBorder="1"/>
    <xf numFmtId="0" fontId="1" fillId="0" borderId="0" xfId="1"/>
    <xf numFmtId="0" fontId="33" fillId="0" borderId="0" xfId="1" applyFont="1" applyAlignment="1">
      <alignment horizontal="left"/>
    </xf>
    <xf numFmtId="0" fontId="4" fillId="0" borderId="0" xfId="1" applyFont="1"/>
    <xf numFmtId="0" fontId="32" fillId="0" borderId="0" xfId="1" applyFont="1"/>
    <xf numFmtId="44" fontId="1" fillId="0" borderId="0" xfId="39"/>
    <xf numFmtId="44" fontId="1" fillId="26" borderId="19" xfId="39" applyFill="1" applyBorder="1"/>
    <xf numFmtId="166" fontId="1" fillId="26" borderId="19" xfId="39" applyNumberFormat="1" applyFill="1" applyBorder="1"/>
    <xf numFmtId="44" fontId="1" fillId="0" borderId="24" xfId="39" applyBorder="1"/>
    <xf numFmtId="0" fontId="4" fillId="0" borderId="0" xfId="1" applyFont="1" applyAlignment="1">
      <alignment horizontal="left"/>
    </xf>
    <xf numFmtId="44" fontId="34" fillId="0" borderId="19" xfId="39" applyFont="1" applyBorder="1"/>
    <xf numFmtId="0" fontId="4" fillId="0" borderId="34" xfId="1" applyFont="1" applyBorder="1"/>
    <xf numFmtId="0" fontId="4" fillId="0" borderId="35" xfId="1" applyFont="1" applyBorder="1"/>
    <xf numFmtId="0" fontId="0" fillId="0" borderId="0" xfId="0" applyAlignment="1">
      <alignment vertical="top"/>
    </xf>
    <xf numFmtId="0" fontId="4" fillId="0" borderId="0" xfId="0" applyFont="1" applyAlignment="1">
      <alignment vertical="top"/>
    </xf>
    <xf numFmtId="0" fontId="4" fillId="0" borderId="38" xfId="0" applyFont="1" applyBorder="1" applyAlignment="1">
      <alignment vertical="top" wrapText="1"/>
    </xf>
    <xf numFmtId="0" fontId="4" fillId="0" borderId="40" xfId="0" applyFont="1" applyBorder="1" applyAlignment="1">
      <alignment vertical="top" wrapText="1"/>
    </xf>
    <xf numFmtId="0" fontId="35" fillId="0" borderId="0" xfId="1" applyFont="1"/>
    <xf numFmtId="1" fontId="36" fillId="0" borderId="0" xfId="0" applyNumberFormat="1" applyFont="1"/>
    <xf numFmtId="0" fontId="36" fillId="0" borderId="0" xfId="0" applyFont="1"/>
    <xf numFmtId="1" fontId="0" fillId="0" borderId="22" xfId="0" applyNumberFormat="1" applyBorder="1"/>
    <xf numFmtId="0" fontId="34" fillId="0" borderId="0" xfId="0" applyFont="1" applyAlignment="1">
      <alignment vertical="top"/>
    </xf>
    <xf numFmtId="0" fontId="37" fillId="0" borderId="0" xfId="0" applyFont="1"/>
    <xf numFmtId="0" fontId="0" fillId="0" borderId="41" xfId="0" applyBorder="1"/>
    <xf numFmtId="0" fontId="1" fillId="0" borderId="0" xfId="0" applyFont="1"/>
    <xf numFmtId="0" fontId="0" fillId="0" borderId="0" xfId="0" applyAlignment="1">
      <alignment wrapText="1"/>
    </xf>
    <xf numFmtId="0" fontId="0" fillId="0" borderId="9" xfId="0" applyBorder="1"/>
    <xf numFmtId="0" fontId="0" fillId="0" borderId="42" xfId="0" applyBorder="1"/>
    <xf numFmtId="0" fontId="0" fillId="0" borderId="14" xfId="0" applyBorder="1"/>
    <xf numFmtId="0" fontId="1" fillId="0" borderId="22" xfId="0" applyFont="1" applyBorder="1"/>
    <xf numFmtId="44" fontId="0" fillId="0" borderId="0" xfId="39" applyFont="1" applyBorder="1"/>
    <xf numFmtId="0" fontId="1" fillId="0" borderId="23" xfId="0" applyFont="1" applyBorder="1"/>
    <xf numFmtId="0" fontId="41" fillId="0" borderId="0" xfId="0" applyFont="1"/>
    <xf numFmtId="0" fontId="42" fillId="0" borderId="0" xfId="0" applyFont="1"/>
    <xf numFmtId="0" fontId="43" fillId="0" borderId="0" xfId="0" applyFont="1"/>
    <xf numFmtId="44" fontId="43" fillId="0" borderId="0" xfId="39" applyFont="1" applyBorder="1"/>
    <xf numFmtId="0" fontId="43" fillId="0" borderId="48" xfId="0" applyFont="1" applyBorder="1"/>
    <xf numFmtId="0" fontId="43" fillId="0" borderId="42" xfId="0" applyFont="1" applyBorder="1"/>
    <xf numFmtId="9" fontId="0" fillId="0" borderId="48" xfId="0" applyNumberFormat="1" applyBorder="1"/>
    <xf numFmtId="44" fontId="0" fillId="0" borderId="9" xfId="39" applyFont="1" applyBorder="1"/>
    <xf numFmtId="0" fontId="0" fillId="0" borderId="46" xfId="0" applyBorder="1" applyAlignment="1">
      <alignment wrapText="1"/>
    </xf>
    <xf numFmtId="0" fontId="0" fillId="0" borderId="47" xfId="0" applyBorder="1" applyAlignment="1">
      <alignment wrapText="1"/>
    </xf>
    <xf numFmtId="0" fontId="0" fillId="0" borderId="24" xfId="0" applyBorder="1" applyAlignment="1">
      <alignment wrapText="1"/>
    </xf>
    <xf numFmtId="0" fontId="43" fillId="0" borderId="24" xfId="0" applyFont="1" applyBorder="1" applyAlignment="1">
      <alignment wrapText="1"/>
    </xf>
    <xf numFmtId="0" fontId="43" fillId="0" borderId="0" xfId="0" applyFont="1" applyAlignment="1">
      <alignment wrapText="1"/>
    </xf>
    <xf numFmtId="44" fontId="43" fillId="0" borderId="24" xfId="39" applyFont="1" applyBorder="1" applyAlignment="1">
      <alignment wrapText="1"/>
    </xf>
    <xf numFmtId="0" fontId="42" fillId="0" borderId="22" xfId="0" applyFont="1" applyBorder="1"/>
    <xf numFmtId="0" fontId="43" fillId="0" borderId="22" xfId="0" applyFont="1" applyBorder="1"/>
    <xf numFmtId="44" fontId="43" fillId="0" borderId="22" xfId="0" applyNumberFormat="1" applyFont="1" applyBorder="1"/>
    <xf numFmtId="44" fontId="43" fillId="0" borderId="22" xfId="39" applyFont="1" applyBorder="1"/>
    <xf numFmtId="0" fontId="0" fillId="0" borderId="41" xfId="0" applyBorder="1" applyAlignment="1">
      <alignment horizontal="left"/>
    </xf>
    <xf numFmtId="0" fontId="43" fillId="0" borderId="14" xfId="0" applyFont="1" applyBorder="1"/>
    <xf numFmtId="0" fontId="43" fillId="0" borderId="41" xfId="0" applyFont="1" applyBorder="1"/>
    <xf numFmtId="0" fontId="0" fillId="0" borderId="43" xfId="0" applyBorder="1"/>
    <xf numFmtId="0" fontId="42" fillId="0" borderId="23" xfId="0" applyFont="1" applyBorder="1"/>
    <xf numFmtId="0" fontId="0" fillId="0" borderId="49" xfId="0" applyBorder="1"/>
    <xf numFmtId="1" fontId="0" fillId="0" borderId="23" xfId="0" applyNumberFormat="1" applyBorder="1"/>
    <xf numFmtId="44" fontId="43" fillId="0" borderId="23" xfId="0" applyNumberFormat="1" applyFont="1" applyBorder="1"/>
    <xf numFmtId="44" fontId="43" fillId="0" borderId="23" xfId="39" applyFont="1" applyBorder="1"/>
    <xf numFmtId="0" fontId="1" fillId="0" borderId="21" xfId="0" applyFont="1" applyBorder="1"/>
    <xf numFmtId="0" fontId="0" fillId="0" borderId="24" xfId="0" applyBorder="1"/>
    <xf numFmtId="0" fontId="0" fillId="0" borderId="0" xfId="0" applyAlignment="1">
      <alignment horizontal="center"/>
    </xf>
    <xf numFmtId="0" fontId="1" fillId="0" borderId="0" xfId="0" applyFont="1" applyAlignment="1">
      <alignment vertical="top"/>
    </xf>
    <xf numFmtId="0" fontId="44" fillId="0" borderId="45" xfId="0" applyFont="1" applyBorder="1" applyAlignment="1">
      <alignment vertical="top" wrapText="1"/>
    </xf>
    <xf numFmtId="3" fontId="0" fillId="0" borderId="22" xfId="0" applyNumberFormat="1" applyBorder="1"/>
    <xf numFmtId="0" fontId="1" fillId="0" borderId="41" xfId="0" applyFont="1" applyBorder="1"/>
    <xf numFmtId="3" fontId="43" fillId="0" borderId="22" xfId="0" applyNumberFormat="1" applyFont="1" applyBorder="1"/>
    <xf numFmtId="0" fontId="1" fillId="0" borderId="24" xfId="0" applyFont="1" applyBorder="1" applyAlignment="1">
      <alignment wrapText="1"/>
    </xf>
    <xf numFmtId="44" fontId="1" fillId="0" borderId="24" xfId="39" applyFont="1" applyBorder="1" applyAlignment="1">
      <alignment wrapText="1"/>
    </xf>
    <xf numFmtId="44" fontId="1" fillId="0" borderId="24" xfId="39" applyFill="1" applyBorder="1"/>
    <xf numFmtId="0" fontId="1" fillId="0" borderId="41" xfId="0" applyFont="1" applyBorder="1" applyAlignment="1">
      <alignment horizontal="left"/>
    </xf>
    <xf numFmtId="0" fontId="4" fillId="0" borderId="34" xfId="0" applyFont="1" applyBorder="1" applyAlignment="1">
      <alignment vertical="top"/>
    </xf>
    <xf numFmtId="0" fontId="4" fillId="0" borderId="36" xfId="0" applyFont="1" applyBorder="1" applyAlignment="1">
      <alignment vertical="top" wrapText="1"/>
    </xf>
    <xf numFmtId="0" fontId="0" fillId="0" borderId="36" xfId="0" applyBorder="1" applyAlignment="1">
      <alignment vertical="top"/>
    </xf>
    <xf numFmtId="0" fontId="1" fillId="0" borderId="24" xfId="0" applyFont="1" applyBorder="1"/>
    <xf numFmtId="44" fontId="0" fillId="0" borderId="24" xfId="39" applyFont="1" applyBorder="1"/>
    <xf numFmtId="0" fontId="1" fillId="0" borderId="42" xfId="0" applyFont="1" applyBorder="1"/>
    <xf numFmtId="0" fontId="1" fillId="0" borderId="49" xfId="0" applyFont="1" applyBorder="1"/>
    <xf numFmtId="9" fontId="0" fillId="0" borderId="0" xfId="0" applyNumberFormat="1"/>
    <xf numFmtId="0" fontId="4" fillId="0" borderId="33" xfId="0" applyFont="1" applyBorder="1" applyAlignment="1">
      <alignment vertical="top"/>
    </xf>
    <xf numFmtId="0" fontId="0" fillId="0" borderId="32" xfId="0" applyBorder="1" applyAlignment="1">
      <alignment vertical="top"/>
    </xf>
    <xf numFmtId="44" fontId="0" fillId="0" borderId="24" xfId="0" applyNumberFormat="1" applyBorder="1"/>
    <xf numFmtId="170" fontId="0" fillId="0" borderId="24" xfId="39" applyNumberFormat="1" applyFont="1" applyBorder="1"/>
    <xf numFmtId="44" fontId="0" fillId="0" borderId="38" xfId="0" applyNumberFormat="1" applyBorder="1"/>
    <xf numFmtId="44" fontId="0" fillId="0" borderId="52" xfId="39" applyFont="1" applyBorder="1"/>
    <xf numFmtId="44" fontId="0" fillId="0" borderId="40" xfId="0" applyNumberFormat="1" applyBorder="1"/>
    <xf numFmtId="0" fontId="1" fillId="0" borderId="14" xfId="0" applyFont="1" applyBorder="1"/>
    <xf numFmtId="2" fontId="0" fillId="0" borderId="0" xfId="0" applyNumberFormat="1" applyAlignment="1">
      <alignment horizontal="center" vertical="center"/>
    </xf>
    <xf numFmtId="44" fontId="4" fillId="28" borderId="28" xfId="39" applyFont="1" applyFill="1" applyBorder="1" applyAlignment="1">
      <alignment horizontal="center" vertical="center"/>
    </xf>
    <xf numFmtId="44" fontId="0" fillId="28" borderId="28" xfId="39" applyFont="1" applyFill="1" applyBorder="1" applyAlignment="1">
      <alignment horizontal="center" vertical="center"/>
    </xf>
    <xf numFmtId="0" fontId="0" fillId="28" borderId="28" xfId="0" applyFill="1" applyBorder="1" applyAlignment="1">
      <alignment horizontal="center" vertical="center"/>
    </xf>
    <xf numFmtId="44" fontId="0" fillId="28" borderId="28" xfId="0" applyNumberFormat="1" applyFill="1" applyBorder="1" applyAlignment="1">
      <alignment horizontal="center" vertical="center"/>
    </xf>
    <xf numFmtId="10" fontId="0" fillId="28" borderId="28" xfId="86" applyNumberFormat="1" applyFont="1" applyFill="1" applyBorder="1" applyAlignment="1">
      <alignment horizontal="center" vertical="center"/>
    </xf>
    <xf numFmtId="0" fontId="4" fillId="26" borderId="29" xfId="0" applyFont="1" applyFill="1" applyBorder="1" applyAlignment="1">
      <alignment horizontal="center" vertical="center"/>
    </xf>
    <xf numFmtId="44" fontId="0" fillId="0" borderId="24" xfId="39" applyFont="1" applyBorder="1" applyAlignment="1">
      <alignment horizontal="center" vertical="center"/>
    </xf>
    <xf numFmtId="44" fontId="0" fillId="0" borderId="24" xfId="0" applyNumberFormat="1" applyBorder="1" applyAlignment="1">
      <alignment horizontal="center" vertical="center"/>
    </xf>
    <xf numFmtId="44" fontId="0" fillId="0" borderId="38" xfId="39" applyFont="1" applyBorder="1" applyAlignment="1">
      <alignment horizontal="center" vertical="center"/>
    </xf>
    <xf numFmtId="44" fontId="0" fillId="0" borderId="52" xfId="39" applyFont="1" applyBorder="1" applyAlignment="1">
      <alignment horizontal="center" vertical="center"/>
    </xf>
    <xf numFmtId="44" fontId="0" fillId="0" borderId="40" xfId="39" applyFont="1" applyBorder="1" applyAlignment="1">
      <alignment horizontal="center" vertical="center"/>
    </xf>
    <xf numFmtId="0" fontId="0" fillId="0" borderId="0" xfId="0" applyAlignment="1">
      <alignment horizontal="center" vertical="center"/>
    </xf>
    <xf numFmtId="44" fontId="0" fillId="0" borderId="0" xfId="39" applyFont="1" applyAlignment="1">
      <alignment horizontal="center" vertical="center"/>
    </xf>
    <xf numFmtId="10" fontId="0" fillId="0" borderId="0" xfId="86" applyNumberFormat="1" applyFont="1" applyAlignment="1">
      <alignment horizontal="center" vertical="center"/>
    </xf>
    <xf numFmtId="44" fontId="4" fillId="0" borderId="0" xfId="39" applyFont="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xf>
    <xf numFmtId="10" fontId="2" fillId="0" borderId="0" xfId="86" applyNumberFormat="1" applyFont="1" applyFill="1" applyAlignment="1" applyProtection="1">
      <alignment horizontal="center" vertical="center"/>
    </xf>
    <xf numFmtId="1" fontId="1" fillId="0" borderId="0" xfId="0" applyNumberFormat="1" applyFont="1"/>
    <xf numFmtId="1" fontId="1" fillId="0" borderId="0" xfId="0" applyNumberFormat="1" applyFont="1" applyAlignment="1">
      <alignment horizontal="center" vertical="center"/>
    </xf>
    <xf numFmtId="2" fontId="1" fillId="0" borderId="0" xfId="0" applyNumberFormat="1" applyFont="1"/>
    <xf numFmtId="2" fontId="1" fillId="0" borderId="0" xfId="0" applyNumberFormat="1" applyFont="1" applyAlignment="1">
      <alignment horizontal="center" vertical="center"/>
    </xf>
    <xf numFmtId="0" fontId="1" fillId="0" borderId="44" xfId="0" applyFont="1" applyBorder="1"/>
    <xf numFmtId="0" fontId="1" fillId="0" borderId="37" xfId="0" applyFont="1" applyBorder="1"/>
    <xf numFmtId="4" fontId="46" fillId="0" borderId="24" xfId="0" applyNumberFormat="1" applyFont="1" applyBorder="1" applyAlignment="1">
      <alignment horizontal="center" vertical="center"/>
    </xf>
    <xf numFmtId="1" fontId="1" fillId="0" borderId="37" xfId="0" applyNumberFormat="1" applyFont="1" applyBorder="1"/>
    <xf numFmtId="0" fontId="1" fillId="0" borderId="39" xfId="0" applyFont="1" applyBorder="1"/>
    <xf numFmtId="0" fontId="1" fillId="0" borderId="52" xfId="0" applyFont="1" applyBorder="1"/>
    <xf numFmtId="165" fontId="1" fillId="0" borderId="0" xfId="0" applyNumberFormat="1" applyFont="1" applyAlignment="1">
      <alignment horizontal="center" vertical="center"/>
    </xf>
    <xf numFmtId="0" fontId="47" fillId="0" borderId="0" xfId="0" applyFont="1"/>
    <xf numFmtId="0" fontId="48" fillId="0" borderId="0" xfId="0" applyFont="1"/>
    <xf numFmtId="0" fontId="1" fillId="0" borderId="0" xfId="0" applyFont="1" applyAlignment="1">
      <alignment horizontal="center"/>
    </xf>
    <xf numFmtId="0" fontId="49" fillId="0" borderId="0" xfId="0" applyFont="1" applyAlignment="1">
      <alignment horizontal="center"/>
    </xf>
    <xf numFmtId="0" fontId="1" fillId="0" borderId="24" xfId="0" applyFont="1" applyBorder="1" applyAlignment="1">
      <alignment horizontal="center"/>
    </xf>
    <xf numFmtId="0" fontId="45" fillId="0" borderId="24" xfId="0" applyFont="1" applyBorder="1" applyAlignment="1">
      <alignment horizontal="center"/>
    </xf>
    <xf numFmtId="3" fontId="45" fillId="0" borderId="24" xfId="0" applyNumberFormat="1" applyFont="1" applyBorder="1" applyAlignment="1">
      <alignment horizontal="center"/>
    </xf>
    <xf numFmtId="8" fontId="45" fillId="0" borderId="24" xfId="0" applyNumberFormat="1" applyFont="1" applyBorder="1" applyAlignment="1">
      <alignment horizontal="center"/>
    </xf>
    <xf numFmtId="8" fontId="1" fillId="0" borderId="24" xfId="0" applyNumberFormat="1" applyFont="1" applyBorder="1" applyAlignment="1">
      <alignment horizontal="center"/>
    </xf>
    <xf numFmtId="44" fontId="45" fillId="0" borderId="24" xfId="0" applyNumberFormat="1" applyFont="1" applyBorder="1" applyAlignment="1">
      <alignment horizontal="center"/>
    </xf>
    <xf numFmtId="0" fontId="50" fillId="0" borderId="0" xfId="0" applyFont="1"/>
    <xf numFmtId="3" fontId="1" fillId="0" borderId="24" xfId="0" applyNumberFormat="1" applyFont="1" applyBorder="1" applyAlignment="1">
      <alignment horizontal="center"/>
    </xf>
    <xf numFmtId="0" fontId="45" fillId="0" borderId="21" xfId="0" applyFont="1" applyBorder="1" applyAlignment="1">
      <alignment horizontal="center"/>
    </xf>
    <xf numFmtId="3" fontId="45" fillId="0" borderId="23" xfId="0" applyNumberFormat="1" applyFont="1" applyBorder="1" applyAlignment="1">
      <alignment horizontal="center"/>
    </xf>
    <xf numFmtId="3" fontId="45" fillId="31" borderId="19" xfId="0" applyNumberFormat="1" applyFont="1" applyFill="1" applyBorder="1" applyAlignment="1">
      <alignment horizontal="center"/>
    </xf>
    <xf numFmtId="0" fontId="1" fillId="0" borderId="21" xfId="0" applyFont="1" applyBorder="1" applyAlignment="1">
      <alignment horizontal="center"/>
    </xf>
    <xf numFmtId="3" fontId="1" fillId="31" borderId="19" xfId="0" applyNumberFormat="1" applyFont="1" applyFill="1" applyBorder="1" applyAlignment="1">
      <alignment horizontal="center"/>
    </xf>
    <xf numFmtId="0" fontId="4" fillId="0" borderId="44" xfId="0" applyFont="1" applyBorder="1"/>
    <xf numFmtId="0" fontId="4" fillId="0" borderId="45" xfId="0" applyFont="1" applyBorder="1" applyAlignment="1">
      <alignment horizontal="center"/>
    </xf>
    <xf numFmtId="0" fontId="4" fillId="0" borderId="38" xfId="0" applyFont="1" applyBorder="1" applyAlignment="1">
      <alignment horizontal="center"/>
    </xf>
    <xf numFmtId="0" fontId="4" fillId="0" borderId="37" xfId="0" applyFont="1" applyBorder="1"/>
    <xf numFmtId="3" fontId="4" fillId="0" borderId="38" xfId="0" applyNumberFormat="1" applyFont="1" applyBorder="1" applyAlignment="1">
      <alignment horizontal="center"/>
    </xf>
    <xf numFmtId="0" fontId="4" fillId="0" borderId="53" xfId="0" applyFont="1" applyBorder="1"/>
    <xf numFmtId="0" fontId="4" fillId="0" borderId="54" xfId="0" applyFont="1" applyBorder="1" applyAlignment="1">
      <alignment horizontal="center"/>
    </xf>
    <xf numFmtId="44" fontId="4" fillId="0" borderId="38" xfId="0" applyNumberFormat="1" applyFont="1" applyBorder="1" applyAlignment="1">
      <alignment horizontal="center"/>
    </xf>
    <xf numFmtId="0" fontId="4" fillId="0" borderId="39" xfId="0" applyFont="1" applyBorder="1"/>
    <xf numFmtId="6" fontId="1" fillId="0" borderId="52" xfId="0" applyNumberFormat="1" applyFont="1" applyBorder="1" applyAlignment="1">
      <alignment horizontal="center"/>
    </xf>
    <xf numFmtId="6" fontId="4" fillId="0" borderId="40" xfId="0" applyNumberFormat="1" applyFont="1" applyBorder="1" applyAlignment="1">
      <alignment horizontal="center"/>
    </xf>
    <xf numFmtId="169" fontId="1" fillId="0" borderId="24" xfId="0" applyNumberFormat="1" applyFont="1" applyBorder="1" applyAlignment="1">
      <alignment horizontal="center"/>
    </xf>
    <xf numFmtId="169" fontId="4" fillId="0" borderId="38" xfId="0" applyNumberFormat="1" applyFont="1" applyBorder="1" applyAlignment="1">
      <alignment horizontal="center"/>
    </xf>
    <xf numFmtId="169" fontId="45" fillId="0" borderId="24" xfId="0" applyNumberFormat="1" applyFont="1" applyBorder="1" applyAlignment="1">
      <alignment horizontal="center"/>
    </xf>
    <xf numFmtId="0" fontId="1" fillId="0" borderId="50" xfId="0" applyFont="1" applyBorder="1"/>
    <xf numFmtId="0" fontId="44" fillId="0" borderId="21" xfId="0" applyFont="1" applyBorder="1" applyAlignment="1">
      <alignment horizontal="center"/>
    </xf>
    <xf numFmtId="0" fontId="4" fillId="0" borderId="21" xfId="0" applyFont="1" applyBorder="1" applyAlignment="1">
      <alignment horizontal="center"/>
    </xf>
    <xf numFmtId="0" fontId="4" fillId="0" borderId="55" xfId="0" applyFont="1" applyBorder="1" applyAlignment="1">
      <alignment horizontal="center"/>
    </xf>
    <xf numFmtId="3" fontId="45" fillId="0" borderId="51" xfId="0" applyNumberFormat="1" applyFont="1" applyBorder="1" applyAlignment="1">
      <alignment horizontal="center"/>
    </xf>
    <xf numFmtId="3" fontId="4" fillId="0" borderId="45" xfId="0" applyNumberFormat="1" applyFont="1" applyBorder="1" applyAlignment="1">
      <alignment horizontal="center"/>
    </xf>
    <xf numFmtId="6" fontId="45" fillId="0" borderId="52" xfId="0" applyNumberFormat="1" applyFont="1" applyBorder="1" applyAlignment="1">
      <alignment horizontal="center"/>
    </xf>
    <xf numFmtId="169" fontId="0" fillId="0" borderId="0" xfId="0" applyNumberFormat="1"/>
    <xf numFmtId="169" fontId="43" fillId="0" borderId="22" xfId="39" applyNumberFormat="1" applyFont="1" applyBorder="1"/>
    <xf numFmtId="169" fontId="43" fillId="0" borderId="22" xfId="0" applyNumberFormat="1" applyFont="1" applyBorder="1"/>
    <xf numFmtId="169" fontId="43" fillId="0" borderId="0" xfId="0" applyNumberFormat="1" applyFont="1"/>
    <xf numFmtId="7" fontId="0" fillId="0" borderId="41" xfId="0" applyNumberFormat="1" applyBorder="1"/>
    <xf numFmtId="169" fontId="0" fillId="0" borderId="22" xfId="39" applyNumberFormat="1" applyFont="1" applyBorder="1"/>
    <xf numFmtId="0" fontId="41" fillId="0" borderId="0" xfId="61" applyFont="1"/>
    <xf numFmtId="0" fontId="1" fillId="0" borderId="0" xfId="61"/>
    <xf numFmtId="0" fontId="43" fillId="0" borderId="0" xfId="61" applyFont="1"/>
    <xf numFmtId="0" fontId="42" fillId="0" borderId="0" xfId="61" applyFont="1"/>
    <xf numFmtId="0" fontId="51" fillId="0" borderId="0" xfId="61" applyFont="1"/>
    <xf numFmtId="44" fontId="43" fillId="0" borderId="19" xfId="39" applyFont="1" applyBorder="1"/>
    <xf numFmtId="0" fontId="1" fillId="0" borderId="46" xfId="61" applyBorder="1"/>
    <xf numFmtId="0" fontId="1" fillId="0" borderId="47" xfId="61" applyBorder="1"/>
    <xf numFmtId="0" fontId="1" fillId="0" borderId="41" xfId="61" applyBorder="1"/>
    <xf numFmtId="0" fontId="1" fillId="0" borderId="14" xfId="61" applyBorder="1"/>
    <xf numFmtId="0" fontId="1" fillId="0" borderId="42" xfId="61" applyBorder="1"/>
    <xf numFmtId="0" fontId="1" fillId="0" borderId="9" xfId="61" applyBorder="1"/>
    <xf numFmtId="0" fontId="43" fillId="0" borderId="48" xfId="61" applyFont="1" applyBorder="1"/>
    <xf numFmtId="0" fontId="1" fillId="0" borderId="49" xfId="61" applyBorder="1"/>
    <xf numFmtId="0" fontId="1" fillId="0" borderId="43" xfId="61" applyBorder="1"/>
    <xf numFmtId="0" fontId="1" fillId="0" borderId="56" xfId="61" applyBorder="1"/>
    <xf numFmtId="0" fontId="43" fillId="0" borderId="43" xfId="61" applyFont="1" applyBorder="1"/>
    <xf numFmtId="0" fontId="1" fillId="0" borderId="46" xfId="61" applyBorder="1" applyAlignment="1">
      <alignment wrapText="1"/>
    </xf>
    <xf numFmtId="0" fontId="1" fillId="0" borderId="47" xfId="61" applyBorder="1" applyAlignment="1">
      <alignment wrapText="1"/>
    </xf>
    <xf numFmtId="0" fontId="1" fillId="0" borderId="0" xfId="61" applyAlignment="1">
      <alignment wrapText="1"/>
    </xf>
    <xf numFmtId="0" fontId="1" fillId="0" borderId="21" xfId="61" applyBorder="1" applyAlignment="1">
      <alignment wrapText="1"/>
    </xf>
    <xf numFmtId="0" fontId="43" fillId="0" borderId="21" xfId="61" applyFont="1" applyBorder="1" applyAlignment="1">
      <alignment wrapText="1"/>
    </xf>
    <xf numFmtId="0" fontId="43" fillId="0" borderId="0" xfId="61" applyFont="1" applyAlignment="1">
      <alignment wrapText="1"/>
    </xf>
    <xf numFmtId="0" fontId="43" fillId="0" borderId="24" xfId="61" applyFont="1" applyBorder="1" applyAlignment="1">
      <alignment wrapText="1"/>
    </xf>
    <xf numFmtId="0" fontId="1" fillId="0" borderId="24" xfId="61" applyBorder="1"/>
    <xf numFmtId="3" fontId="43" fillId="0" borderId="22" xfId="61" applyNumberFormat="1" applyFont="1" applyBorder="1"/>
    <xf numFmtId="3" fontId="1" fillId="0" borderId="21" xfId="61" applyNumberFormat="1" applyBorder="1"/>
    <xf numFmtId="0" fontId="43" fillId="0" borderId="22" xfId="61" applyFont="1" applyBorder="1"/>
    <xf numFmtId="7" fontId="43" fillId="0" borderId="22" xfId="61" applyNumberFormat="1" applyFont="1" applyBorder="1"/>
    <xf numFmtId="7" fontId="1" fillId="0" borderId="0" xfId="39" applyNumberFormat="1"/>
    <xf numFmtId="7" fontId="43" fillId="0" borderId="22" xfId="0" applyNumberFormat="1" applyFont="1" applyBorder="1"/>
    <xf numFmtId="43" fontId="4" fillId="0" borderId="25" xfId="98" applyFont="1" applyBorder="1" applyAlignment="1">
      <alignment vertical="center"/>
    </xf>
    <xf numFmtId="43" fontId="4" fillId="0" borderId="26" xfId="98" applyFont="1" applyBorder="1" applyAlignment="1">
      <alignment horizontal="center" vertical="center"/>
    </xf>
    <xf numFmtId="43" fontId="4" fillId="0" borderId="30" xfId="98" applyFont="1" applyBorder="1" applyAlignment="1">
      <alignment horizontal="center" vertical="center"/>
    </xf>
    <xf numFmtId="43" fontId="4" fillId="0" borderId="0" xfId="98" applyFont="1"/>
    <xf numFmtId="43" fontId="4" fillId="0" borderId="34" xfId="98" applyFont="1" applyBorder="1"/>
    <xf numFmtId="43" fontId="4" fillId="0" borderId="25" xfId="98" applyFont="1" applyBorder="1"/>
    <xf numFmtId="43" fontId="4" fillId="0" borderId="30" xfId="98" applyFont="1" applyBorder="1"/>
    <xf numFmtId="169" fontId="1" fillId="0" borderId="0" xfId="0" applyNumberFormat="1" applyFont="1" applyAlignment="1">
      <alignment horizontal="center" vertical="center"/>
    </xf>
    <xf numFmtId="169" fontId="0" fillId="0" borderId="0" xfId="0" applyNumberFormat="1" applyAlignment="1">
      <alignment horizontal="center" vertical="center"/>
    </xf>
    <xf numFmtId="169" fontId="0" fillId="0" borderId="0" xfId="39" applyNumberFormat="1" applyFont="1" applyAlignment="1">
      <alignment horizontal="center" vertical="center"/>
    </xf>
    <xf numFmtId="170" fontId="1" fillId="0" borderId="51" xfId="39" applyNumberFormat="1" applyFont="1" applyBorder="1" applyAlignment="1">
      <alignment horizontal="center" vertical="center"/>
    </xf>
    <xf numFmtId="170" fontId="4" fillId="0" borderId="51" xfId="39" applyNumberFormat="1" applyFont="1" applyBorder="1" applyAlignment="1">
      <alignment horizontal="center" vertical="center"/>
    </xf>
    <xf numFmtId="10" fontId="0" fillId="0" borderId="24" xfId="86" applyNumberFormat="1" applyFont="1" applyFill="1" applyBorder="1" applyAlignment="1">
      <alignment horizontal="center" vertical="center"/>
    </xf>
    <xf numFmtId="44" fontId="0" fillId="0" borderId="0" xfId="39" applyFont="1" applyBorder="1" applyAlignment="1">
      <alignment horizontal="center" vertical="center"/>
    </xf>
    <xf numFmtId="43" fontId="4" fillId="0" borderId="0" xfId="98" applyFont="1" applyBorder="1" applyAlignment="1">
      <alignment horizontal="center" vertical="center"/>
    </xf>
    <xf numFmtId="0" fontId="4" fillId="0" borderId="44" xfId="0" applyFont="1" applyBorder="1" applyAlignment="1">
      <alignment horizontal="center" vertical="top"/>
    </xf>
    <xf numFmtId="0" fontId="4" fillId="0" borderId="37" xfId="0" applyFont="1" applyBorder="1" applyAlignment="1">
      <alignment horizontal="center" vertical="top"/>
    </xf>
    <xf numFmtId="0" fontId="4" fillId="0" borderId="50" xfId="0" applyFont="1" applyBorder="1" applyAlignment="1">
      <alignment horizontal="center" vertical="top"/>
    </xf>
    <xf numFmtId="0" fontId="4" fillId="0" borderId="39" xfId="0" applyFont="1" applyBorder="1" applyAlignment="1">
      <alignment horizontal="center" vertical="top"/>
    </xf>
    <xf numFmtId="0" fontId="1" fillId="0" borderId="45" xfId="0" applyFont="1" applyBorder="1" applyAlignment="1">
      <alignment vertical="top" wrapText="1"/>
    </xf>
    <xf numFmtId="0" fontId="1" fillId="0" borderId="38" xfId="0" applyFont="1" applyBorder="1" applyAlignment="1">
      <alignment vertical="top" wrapText="1"/>
    </xf>
    <xf numFmtId="44" fontId="52" fillId="0" borderId="22" xfId="39" applyFont="1" applyBorder="1"/>
    <xf numFmtId="43" fontId="0" fillId="0" borderId="21" xfId="98" applyFont="1" applyBorder="1"/>
    <xf numFmtId="43" fontId="0" fillId="0" borderId="22" xfId="98" applyFont="1" applyBorder="1"/>
    <xf numFmtId="43" fontId="0" fillId="0" borderId="0" xfId="98" applyFont="1"/>
    <xf numFmtId="171" fontId="0" fillId="0" borderId="21" xfId="98" applyNumberFormat="1" applyFont="1" applyBorder="1"/>
    <xf numFmtId="171" fontId="0" fillId="0" borderId="22" xfId="98" applyNumberFormat="1" applyFont="1" applyBorder="1"/>
    <xf numFmtId="171" fontId="0" fillId="0" borderId="23" xfId="98" applyNumberFormat="1" applyFont="1" applyBorder="1"/>
    <xf numFmtId="171" fontId="4" fillId="0" borderId="23" xfId="98" applyNumberFormat="1" applyFont="1" applyBorder="1"/>
    <xf numFmtId="0" fontId="4" fillId="29" borderId="24" xfId="0" applyFont="1" applyFill="1" applyBorder="1" applyAlignment="1">
      <alignment horizontal="center"/>
    </xf>
    <xf numFmtId="0" fontId="0" fillId="0" borderId="24" xfId="0" applyBorder="1" applyAlignment="1">
      <alignment horizontal="center" wrapText="1"/>
    </xf>
    <xf numFmtId="0" fontId="0" fillId="0" borderId="0" xfId="0" applyAlignment="1">
      <alignment horizontal="center" wrapText="1"/>
    </xf>
    <xf numFmtId="166" fontId="0" fillId="0" borderId="24" xfId="0" applyNumberFormat="1" applyBorder="1" applyAlignment="1">
      <alignment horizontal="center" wrapText="1"/>
    </xf>
    <xf numFmtId="0" fontId="0" fillId="0" borderId="24" xfId="0" applyBorder="1" applyAlignment="1">
      <alignment horizontal="center"/>
    </xf>
    <xf numFmtId="171" fontId="0" fillId="0" borderId="24" xfId="98" applyNumberFormat="1" applyFont="1" applyBorder="1"/>
    <xf numFmtId="44" fontId="52" fillId="0" borderId="24" xfId="86" applyNumberFormat="1" applyFont="1" applyBorder="1"/>
    <xf numFmtId="44" fontId="52" fillId="0" borderId="24" xfId="39" applyFont="1" applyBorder="1"/>
    <xf numFmtId="44" fontId="52" fillId="0" borderId="17" xfId="39" applyFont="1" applyBorder="1"/>
    <xf numFmtId="43" fontId="0" fillId="0" borderId="0" xfId="0" applyNumberFormat="1"/>
    <xf numFmtId="4" fontId="0" fillId="0" borderId="0" xfId="0" applyNumberFormat="1" applyAlignment="1">
      <alignment vertical="top"/>
    </xf>
    <xf numFmtId="172" fontId="0" fillId="0" borderId="0" xfId="0" applyNumberFormat="1"/>
    <xf numFmtId="172" fontId="0" fillId="0" borderId="41" xfId="0" applyNumberFormat="1" applyBorder="1"/>
    <xf numFmtId="172" fontId="0" fillId="0" borderId="22" xfId="0" applyNumberFormat="1" applyBorder="1"/>
    <xf numFmtId="172" fontId="43" fillId="0" borderId="22" xfId="0" applyNumberFormat="1" applyFont="1" applyBorder="1"/>
    <xf numFmtId="172" fontId="0" fillId="0" borderId="23" xfId="0" applyNumberFormat="1" applyBorder="1"/>
    <xf numFmtId="43" fontId="4" fillId="28" borderId="27" xfId="98" applyFont="1" applyFill="1" applyBorder="1" applyAlignment="1">
      <alignment horizontal="center" vertical="center"/>
    </xf>
    <xf numFmtId="43" fontId="4" fillId="28" borderId="28" xfId="98" applyFont="1" applyFill="1" applyBorder="1" applyAlignment="1">
      <alignment horizontal="center" vertical="center"/>
    </xf>
    <xf numFmtId="170" fontId="4" fillId="26" borderId="36" xfId="39" applyNumberFormat="1" applyFont="1" applyFill="1" applyBorder="1"/>
    <xf numFmtId="170" fontId="4" fillId="0" borderId="24" xfId="39" applyNumberFormat="1" applyFont="1" applyBorder="1"/>
    <xf numFmtId="170" fontId="0" fillId="0" borderId="0" xfId="39" applyNumberFormat="1" applyFont="1"/>
    <xf numFmtId="0" fontId="55" fillId="0" borderId="0" xfId="0" applyFont="1" applyAlignment="1">
      <alignment horizontal="left"/>
    </xf>
    <xf numFmtId="0" fontId="52" fillId="0" borderId="0" xfId="0" applyFont="1" applyAlignment="1">
      <alignment vertical="top"/>
    </xf>
    <xf numFmtId="0" fontId="57" fillId="0" borderId="0" xfId="0" applyFont="1" applyAlignment="1">
      <alignment horizontal="left" vertical="center"/>
    </xf>
    <xf numFmtId="0" fontId="52" fillId="0" borderId="0" xfId="0" applyFont="1" applyAlignment="1">
      <alignment horizontal="center" vertical="top" wrapText="1"/>
    </xf>
    <xf numFmtId="0" fontId="1" fillId="0" borderId="24" xfId="0" applyFont="1" applyBorder="1" applyAlignment="1">
      <alignment horizontal="center" vertical="center" wrapText="1"/>
    </xf>
    <xf numFmtId="0" fontId="43" fillId="0" borderId="24" xfId="0" applyFont="1" applyBorder="1" applyAlignment="1">
      <alignment horizontal="center" vertical="center" wrapText="1"/>
    </xf>
    <xf numFmtId="0" fontId="4" fillId="0" borderId="50" xfId="0" applyFont="1" applyBorder="1" applyAlignment="1">
      <alignment horizontal="center" vertical="top" wrapText="1"/>
    </xf>
    <xf numFmtId="171" fontId="0" fillId="0" borderId="0" xfId="98" applyNumberFormat="1" applyFont="1"/>
    <xf numFmtId="170" fontId="0" fillId="0" borderId="21" xfId="39" applyNumberFormat="1" applyFont="1" applyBorder="1"/>
    <xf numFmtId="170" fontId="0" fillId="0" borderId="22" xfId="39" applyNumberFormat="1" applyFont="1" applyBorder="1"/>
    <xf numFmtId="170" fontId="0" fillId="0" borderId="24" xfId="39" applyNumberFormat="1" applyFont="1" applyBorder="1" applyAlignment="1">
      <alignment horizontal="center" vertical="center"/>
    </xf>
    <xf numFmtId="170" fontId="0" fillId="0" borderId="52" xfId="39" applyNumberFormat="1" applyFont="1" applyBorder="1" applyAlignment="1">
      <alignment horizontal="center" vertical="center"/>
    </xf>
    <xf numFmtId="170" fontId="1" fillId="0" borderId="0" xfId="39" applyNumberFormat="1" applyFont="1" applyAlignment="1">
      <alignment horizontal="center" vertical="center"/>
    </xf>
    <xf numFmtId="170" fontId="0" fillId="0" borderId="0" xfId="39" applyNumberFormat="1" applyFont="1" applyAlignment="1">
      <alignment horizontal="center" vertical="center"/>
    </xf>
    <xf numFmtId="170" fontId="1" fillId="27" borderId="28" xfId="39" applyNumberFormat="1" applyFont="1" applyFill="1" applyBorder="1" applyAlignment="1">
      <alignment horizontal="center" vertical="center"/>
    </xf>
    <xf numFmtId="170" fontId="1" fillId="27" borderId="24" xfId="39" applyNumberFormat="1" applyFont="1" applyFill="1" applyBorder="1" applyAlignment="1">
      <alignment horizontal="center" vertical="center"/>
    </xf>
    <xf numFmtId="170" fontId="4" fillId="0" borderId="26" xfId="39" applyNumberFormat="1" applyFont="1" applyBorder="1" applyAlignment="1">
      <alignment horizontal="center" vertical="center"/>
    </xf>
    <xf numFmtId="3" fontId="43" fillId="0" borderId="23" xfId="0" applyNumberFormat="1" applyFont="1" applyBorder="1"/>
    <xf numFmtId="173" fontId="0" fillId="0" borderId="22" xfId="0" applyNumberFormat="1" applyBorder="1"/>
    <xf numFmtId="7" fontId="0" fillId="0" borderId="22" xfId="0" applyNumberFormat="1" applyBorder="1"/>
    <xf numFmtId="44" fontId="0" fillId="0" borderId="22" xfId="39" applyFont="1" applyFill="1" applyBorder="1"/>
    <xf numFmtId="169" fontId="4" fillId="0" borderId="22" xfId="0" applyNumberFormat="1" applyFont="1" applyBorder="1"/>
    <xf numFmtId="169" fontId="0" fillId="0" borderId="22" xfId="0" applyNumberFormat="1" applyBorder="1"/>
    <xf numFmtId="7" fontId="43" fillId="0" borderId="23" xfId="0" applyNumberFormat="1" applyFont="1" applyBorder="1"/>
    <xf numFmtId="44" fontId="43" fillId="0" borderId="41" xfId="0" applyNumberFormat="1" applyFont="1" applyBorder="1"/>
    <xf numFmtId="169" fontId="4" fillId="0" borderId="14" xfId="0" applyNumberFormat="1" applyFont="1" applyBorder="1"/>
    <xf numFmtId="0" fontId="1" fillId="0" borderId="42" xfId="61" applyBorder="1" applyAlignment="1">
      <alignment wrapText="1"/>
    </xf>
    <xf numFmtId="3" fontId="43" fillId="0" borderId="41" xfId="0" applyNumberFormat="1" applyFont="1" applyBorder="1"/>
    <xf numFmtId="44" fontId="0" fillId="0" borderId="49" xfId="0" applyNumberFormat="1" applyBorder="1"/>
    <xf numFmtId="0" fontId="43" fillId="0" borderId="23" xfId="61" applyFont="1" applyBorder="1"/>
    <xf numFmtId="0" fontId="43" fillId="0" borderId="41" xfId="61" applyFont="1" applyBorder="1"/>
    <xf numFmtId="0" fontId="43" fillId="0" borderId="49" xfId="61" applyFont="1" applyBorder="1"/>
    <xf numFmtId="170" fontId="43" fillId="0" borderId="14" xfId="39" applyNumberFormat="1" applyFont="1" applyBorder="1"/>
    <xf numFmtId="170" fontId="43" fillId="0" borderId="43" xfId="39" applyNumberFormat="1" applyFont="1" applyBorder="1"/>
    <xf numFmtId="170" fontId="43" fillId="0" borderId="0" xfId="39" applyNumberFormat="1" applyFont="1" applyBorder="1"/>
    <xf numFmtId="44" fontId="1" fillId="0" borderId="0" xfId="39" applyFill="1" applyBorder="1"/>
    <xf numFmtId="44" fontId="0" fillId="36" borderId="37" xfId="0" applyNumberFormat="1" applyFill="1" applyBorder="1"/>
    <xf numFmtId="44" fontId="0" fillId="36" borderId="24" xfId="0" applyNumberFormat="1" applyFill="1" applyBorder="1"/>
    <xf numFmtId="44" fontId="52" fillId="36" borderId="24" xfId="0" applyNumberFormat="1" applyFont="1" applyFill="1" applyBorder="1"/>
    <xf numFmtId="44" fontId="0" fillId="36" borderId="38" xfId="0" applyNumberFormat="1" applyFill="1" applyBorder="1"/>
    <xf numFmtId="4" fontId="46" fillId="0" borderId="23" xfId="0" applyNumberFormat="1" applyFont="1" applyBorder="1" applyAlignment="1">
      <alignment horizontal="center" vertical="center"/>
    </xf>
    <xf numFmtId="170" fontId="1" fillId="0" borderId="23" xfId="39" applyNumberFormat="1" applyFont="1" applyBorder="1" applyAlignment="1">
      <alignment horizontal="center" vertical="center"/>
    </xf>
    <xf numFmtId="44" fontId="0" fillId="0" borderId="23" xfId="39" applyFont="1" applyBorder="1" applyAlignment="1">
      <alignment horizontal="center" vertical="center"/>
    </xf>
    <xf numFmtId="170" fontId="0" fillId="0" borderId="23" xfId="39" applyNumberFormat="1" applyFont="1" applyBorder="1" applyAlignment="1">
      <alignment horizontal="center" vertical="center"/>
    </xf>
    <xf numFmtId="44" fontId="0" fillId="0" borderId="23" xfId="0" applyNumberFormat="1" applyBorder="1" applyAlignment="1">
      <alignment horizontal="center" vertical="center"/>
    </xf>
    <xf numFmtId="10" fontId="0" fillId="0" borderId="23" xfId="86" applyNumberFormat="1" applyFont="1" applyFill="1" applyBorder="1" applyAlignment="1">
      <alignment horizontal="center" vertical="center"/>
    </xf>
    <xf numFmtId="170" fontId="1" fillId="27" borderId="23" xfId="39" applyNumberFormat="1" applyFont="1" applyFill="1" applyBorder="1" applyAlignment="1">
      <alignment horizontal="center" vertical="center"/>
    </xf>
    <xf numFmtId="44" fontId="0" fillId="0" borderId="57" xfId="39" applyFont="1" applyBorder="1" applyAlignment="1">
      <alignment horizontal="center" vertical="center"/>
    </xf>
    <xf numFmtId="170" fontId="0" fillId="0" borderId="37" xfId="0" applyNumberFormat="1" applyBorder="1"/>
    <xf numFmtId="170" fontId="0" fillId="0" borderId="24" xfId="0" applyNumberFormat="1" applyBorder="1"/>
    <xf numFmtId="170" fontId="0" fillId="36" borderId="24" xfId="0" applyNumberFormat="1" applyFill="1" applyBorder="1"/>
    <xf numFmtId="44" fontId="0" fillId="36" borderId="52" xfId="0" applyNumberFormat="1" applyFill="1" applyBorder="1"/>
    <xf numFmtId="44" fontId="0" fillId="36" borderId="39" xfId="0" applyNumberFormat="1" applyFill="1" applyBorder="1"/>
    <xf numFmtId="0" fontId="1" fillId="0" borderId="38" xfId="0" applyFont="1" applyBorder="1" applyAlignment="1">
      <alignment vertical="center" wrapText="1"/>
    </xf>
    <xf numFmtId="0" fontId="4" fillId="0" borderId="38" xfId="0" applyFont="1" applyBorder="1" applyAlignment="1">
      <alignment wrapText="1"/>
    </xf>
    <xf numFmtId="0" fontId="4" fillId="0" borderId="0" xfId="0" applyFont="1" applyAlignment="1">
      <alignment vertical="top" wrapText="1"/>
    </xf>
    <xf numFmtId="170" fontId="1" fillId="0" borderId="24" xfId="0" applyNumberFormat="1" applyFont="1" applyBorder="1"/>
    <xf numFmtId="44" fontId="1" fillId="36" borderId="24" xfId="0" applyNumberFormat="1" applyFont="1" applyFill="1" applyBorder="1"/>
    <xf numFmtId="170" fontId="1" fillId="36" borderId="24" xfId="0" applyNumberFormat="1" applyFont="1" applyFill="1" applyBorder="1"/>
    <xf numFmtId="44" fontId="1" fillId="36" borderId="52" xfId="0" applyNumberFormat="1" applyFont="1" applyFill="1" applyBorder="1"/>
    <xf numFmtId="0" fontId="1" fillId="0" borderId="43" xfId="0" applyFont="1" applyBorder="1"/>
    <xf numFmtId="0" fontId="4" fillId="26" borderId="19" xfId="0" applyFont="1" applyFill="1" applyBorder="1" applyProtection="1">
      <protection locked="0"/>
    </xf>
    <xf numFmtId="2" fontId="4" fillId="29" borderId="33" xfId="0" applyNumberFormat="1" applyFont="1" applyFill="1" applyBorder="1" applyAlignment="1">
      <alignment wrapText="1"/>
    </xf>
    <xf numFmtId="2" fontId="4" fillId="29" borderId="25" xfId="0" applyNumberFormat="1" applyFont="1" applyFill="1" applyBorder="1" applyAlignment="1">
      <alignment wrapText="1"/>
    </xf>
    <xf numFmtId="0" fontId="4" fillId="26" borderId="26" xfId="0" applyFont="1" applyFill="1" applyBorder="1" applyAlignment="1">
      <alignment wrapText="1"/>
    </xf>
    <xf numFmtId="0" fontId="4" fillId="27" borderId="28" xfId="0" applyFont="1" applyFill="1" applyBorder="1" applyAlignment="1">
      <alignment horizontal="center" vertical="center" wrapText="1"/>
    </xf>
    <xf numFmtId="169" fontId="4" fillId="28" borderId="28" xfId="39" applyNumberFormat="1" applyFont="1" applyFill="1" applyBorder="1" applyAlignment="1" applyProtection="1">
      <alignment horizontal="center" vertical="center" wrapText="1"/>
    </xf>
    <xf numFmtId="44" fontId="4" fillId="28" borderId="28" xfId="39" applyFont="1" applyFill="1" applyBorder="1" applyAlignment="1" applyProtection="1">
      <alignment horizontal="center" vertical="center" wrapText="1"/>
    </xf>
    <xf numFmtId="44" fontId="4" fillId="35" borderId="28" xfId="39" applyFont="1" applyFill="1" applyBorder="1" applyAlignment="1" applyProtection="1">
      <alignment horizontal="center" vertical="center" wrapText="1"/>
    </xf>
    <xf numFmtId="0" fontId="4" fillId="28" borderId="28" xfId="0" applyFont="1" applyFill="1" applyBorder="1" applyAlignment="1">
      <alignment horizontal="center" vertical="center" wrapText="1"/>
    </xf>
    <xf numFmtId="10" fontId="4" fillId="28" borderId="28" xfId="86" applyNumberFormat="1" applyFont="1" applyFill="1" applyBorder="1" applyAlignment="1" applyProtection="1">
      <alignment horizontal="center" vertical="center" wrapText="1"/>
    </xf>
    <xf numFmtId="170" fontId="4" fillId="27" borderId="28" xfId="39" applyNumberFormat="1" applyFont="1" applyFill="1" applyBorder="1" applyAlignment="1" applyProtection="1">
      <alignment horizontal="center" vertical="center" wrapText="1"/>
    </xf>
    <xf numFmtId="0" fontId="4" fillId="26" borderId="29" xfId="0" applyFont="1" applyFill="1" applyBorder="1" applyAlignment="1">
      <alignment horizontal="center" vertical="center" wrapText="1"/>
    </xf>
    <xf numFmtId="0" fontId="4" fillId="30" borderId="27" xfId="0" applyFont="1" applyFill="1" applyBorder="1" applyAlignment="1">
      <alignment horizontal="center" vertical="center" wrapText="1"/>
    </xf>
    <xf numFmtId="0" fontId="4" fillId="30" borderId="28" xfId="0" applyFont="1" applyFill="1" applyBorder="1" applyAlignment="1">
      <alignment horizontal="center" vertical="center" wrapText="1"/>
    </xf>
    <xf numFmtId="0" fontId="4" fillId="32" borderId="29" xfId="0" applyFont="1" applyFill="1" applyBorder="1" applyAlignment="1">
      <alignment horizontal="center" vertical="center" wrapText="1"/>
    </xf>
    <xf numFmtId="0" fontId="4" fillId="0" borderId="0" xfId="0" applyFont="1" applyAlignment="1">
      <alignment wrapText="1"/>
    </xf>
    <xf numFmtId="44" fontId="4" fillId="34" borderId="27" xfId="39" applyFont="1" applyFill="1" applyBorder="1" applyAlignment="1" applyProtection="1">
      <alignment horizontal="center" vertical="center" wrapText="1"/>
    </xf>
    <xf numFmtId="0" fontId="4" fillId="34" borderId="28" xfId="0" applyFont="1" applyFill="1" applyBorder="1" applyAlignment="1">
      <alignment horizontal="center" vertical="center" wrapText="1"/>
    </xf>
    <xf numFmtId="44" fontId="4" fillId="34" borderId="28" xfId="39" applyFont="1" applyFill="1" applyBorder="1" applyAlignment="1" applyProtection="1">
      <alignment horizontal="center" vertical="center" wrapText="1"/>
    </xf>
    <xf numFmtId="0" fontId="4" fillId="34" borderId="29" xfId="0" applyFont="1" applyFill="1" applyBorder="1" applyAlignment="1">
      <alignment horizontal="center" vertical="center" wrapText="1"/>
    </xf>
    <xf numFmtId="42" fontId="0" fillId="0" borderId="38" xfId="0" applyNumberFormat="1" applyBorder="1"/>
    <xf numFmtId="0" fontId="1" fillId="0" borderId="24" xfId="0" applyFont="1" applyBorder="1" applyAlignment="1">
      <alignment horizontal="left"/>
    </xf>
    <xf numFmtId="0" fontId="4" fillId="0" borderId="0" xfId="0" applyFont="1" applyAlignment="1">
      <alignment horizontal="center"/>
    </xf>
    <xf numFmtId="44" fontId="4" fillId="0" borderId="0" xfId="39" applyFont="1" applyBorder="1" applyAlignment="1">
      <alignment horizontal="center"/>
    </xf>
    <xf numFmtId="3" fontId="1" fillId="0" borderId="0" xfId="0" applyNumberFormat="1" applyFont="1" applyAlignment="1">
      <alignment horizontal="center"/>
    </xf>
    <xf numFmtId="174" fontId="1" fillId="0" borderId="0" xfId="98" applyNumberFormat="1" applyFont="1" applyAlignment="1">
      <alignment horizontal="center"/>
    </xf>
    <xf numFmtId="44" fontId="1" fillId="0" borderId="0" xfId="39" applyFont="1" applyBorder="1" applyAlignment="1">
      <alignment horizontal="center"/>
    </xf>
    <xf numFmtId="3" fontId="4" fillId="0" borderId="24" xfId="0" applyNumberFormat="1" applyFont="1" applyBorder="1" applyAlignment="1">
      <alignment horizontal="center"/>
    </xf>
    <xf numFmtId="175" fontId="1" fillId="0" borderId="24" xfId="0" applyNumberFormat="1" applyFont="1" applyBorder="1" applyAlignment="1">
      <alignment horizontal="center"/>
    </xf>
    <xf numFmtId="176" fontId="1" fillId="0" borderId="24" xfId="0" applyNumberFormat="1" applyFont="1" applyBorder="1" applyAlignment="1">
      <alignment horizontal="center"/>
    </xf>
    <xf numFmtId="174" fontId="1" fillId="0" borderId="24" xfId="98" applyNumberFormat="1" applyFont="1" applyBorder="1" applyAlignment="1">
      <alignment horizontal="center"/>
    </xf>
    <xf numFmtId="170" fontId="1" fillId="0" borderId="24" xfId="0" applyNumberFormat="1" applyFont="1" applyBorder="1" applyAlignment="1">
      <alignment horizontal="center"/>
    </xf>
    <xf numFmtId="44" fontId="1" fillId="0" borderId="24" xfId="0" applyNumberFormat="1" applyFont="1" applyBorder="1" applyAlignment="1">
      <alignment horizontal="center"/>
    </xf>
    <xf numFmtId="44" fontId="1" fillId="0" borderId="24" xfId="39" applyFont="1" applyFill="1" applyBorder="1" applyAlignment="1">
      <alignment horizontal="center"/>
    </xf>
    <xf numFmtId="42" fontId="4" fillId="0" borderId="24" xfId="0" applyNumberFormat="1" applyFont="1" applyBorder="1" applyAlignment="1">
      <alignment horizontal="center"/>
    </xf>
    <xf numFmtId="44" fontId="4" fillId="0" borderId="24" xfId="39" applyFont="1" applyBorder="1" applyAlignment="1">
      <alignment horizontal="center"/>
    </xf>
    <xf numFmtId="0" fontId="56" fillId="0" borderId="0" xfId="0" applyFont="1" applyAlignment="1">
      <alignment horizontal="center"/>
    </xf>
    <xf numFmtId="3" fontId="1" fillId="0" borderId="24" xfId="98" applyNumberFormat="1" applyFont="1" applyBorder="1" applyAlignment="1">
      <alignment horizontal="center" vertical="top" wrapText="1" readingOrder="1"/>
    </xf>
    <xf numFmtId="175" fontId="4" fillId="0" borderId="24" xfId="0" applyNumberFormat="1" applyFont="1" applyBorder="1" applyAlignment="1">
      <alignment horizontal="center"/>
    </xf>
    <xf numFmtId="44" fontId="0" fillId="0" borderId="37" xfId="0" applyNumberFormat="1" applyBorder="1"/>
    <xf numFmtId="44" fontId="0" fillId="36" borderId="47" xfId="0" applyNumberFormat="1" applyFill="1" applyBorder="1"/>
    <xf numFmtId="44" fontId="0" fillId="0" borderId="47" xfId="39" applyFont="1" applyBorder="1"/>
    <xf numFmtId="44" fontId="0" fillId="36" borderId="40" xfId="0" applyNumberFormat="1" applyFill="1" applyBorder="1"/>
    <xf numFmtId="0" fontId="1" fillId="0" borderId="24" xfId="1" applyBorder="1"/>
    <xf numFmtId="42" fontId="0" fillId="0" borderId="24" xfId="39" applyNumberFormat="1" applyFont="1" applyBorder="1"/>
    <xf numFmtId="0" fontId="4" fillId="36" borderId="24" xfId="0" applyFont="1" applyFill="1" applyBorder="1" applyAlignment="1">
      <alignment wrapText="1"/>
    </xf>
    <xf numFmtId="0" fontId="4" fillId="36" borderId="24" xfId="0" applyFont="1" applyFill="1" applyBorder="1" applyAlignment="1">
      <alignment horizontal="center" vertical="center" wrapText="1"/>
    </xf>
    <xf numFmtId="0" fontId="4" fillId="36" borderId="24" xfId="0" applyFont="1" applyFill="1" applyBorder="1" applyAlignment="1">
      <alignment horizontal="center" wrapText="1"/>
    </xf>
    <xf numFmtId="174" fontId="4" fillId="36" borderId="24" xfId="98" applyNumberFormat="1" applyFont="1" applyFill="1" applyBorder="1" applyAlignment="1">
      <alignment horizontal="center" vertical="center" wrapText="1"/>
    </xf>
    <xf numFmtId="170" fontId="4" fillId="36" borderId="24" xfId="0" applyNumberFormat="1" applyFont="1" applyFill="1" applyBorder="1" applyAlignment="1">
      <alignment horizontal="center" vertical="center" wrapText="1"/>
    </xf>
    <xf numFmtId="44" fontId="4" fillId="36" borderId="24" xfId="39" applyFont="1" applyFill="1" applyBorder="1" applyAlignment="1">
      <alignment horizontal="center" wrapText="1"/>
    </xf>
    <xf numFmtId="44" fontId="4" fillId="36" borderId="24" xfId="39" applyFont="1" applyFill="1" applyBorder="1" applyAlignment="1">
      <alignment horizontal="center" vertical="center" wrapText="1"/>
    </xf>
    <xf numFmtId="0" fontId="48" fillId="0" borderId="0" xfId="61" applyFont="1"/>
    <xf numFmtId="0" fontId="1" fillId="0" borderId="0" xfId="61" applyAlignment="1">
      <alignment horizontal="center"/>
    </xf>
    <xf numFmtId="0" fontId="4" fillId="0" borderId="0" xfId="61" applyFont="1"/>
    <xf numFmtId="0" fontId="4" fillId="26" borderId="19" xfId="61" applyFont="1" applyFill="1" applyBorder="1"/>
    <xf numFmtId="0" fontId="4" fillId="0" borderId="20" xfId="61" applyFont="1" applyBorder="1"/>
    <xf numFmtId="0" fontId="50" fillId="0" borderId="0" xfId="61" applyFont="1"/>
    <xf numFmtId="0" fontId="4" fillId="0" borderId="44" xfId="61" applyFont="1" applyBorder="1"/>
    <xf numFmtId="0" fontId="4" fillId="0" borderId="45" xfId="61" applyFont="1" applyBorder="1" applyAlignment="1">
      <alignment horizontal="center"/>
    </xf>
    <xf numFmtId="0" fontId="1" fillId="0" borderId="50" xfId="61" applyBorder="1"/>
    <xf numFmtId="0" fontId="44" fillId="0" borderId="21" xfId="61" applyFont="1" applyBorder="1" applyAlignment="1">
      <alignment horizontal="center"/>
    </xf>
    <xf numFmtId="0" fontId="4" fillId="0" borderId="21" xfId="61" applyFont="1" applyBorder="1" applyAlignment="1">
      <alignment horizontal="center"/>
    </xf>
    <xf numFmtId="0" fontId="4" fillId="0" borderId="55" xfId="61" applyFont="1" applyBorder="1" applyAlignment="1">
      <alignment horizontal="center"/>
    </xf>
    <xf numFmtId="3" fontId="45" fillId="0" borderId="51" xfId="61" applyNumberFormat="1" applyFont="1" applyBorder="1" applyAlignment="1">
      <alignment horizontal="center"/>
    </xf>
    <xf numFmtId="3" fontId="4" fillId="0" borderId="45" xfId="61" applyNumberFormat="1" applyFont="1" applyBorder="1" applyAlignment="1">
      <alignment horizontal="center"/>
    </xf>
    <xf numFmtId="0" fontId="4" fillId="0" borderId="37" xfId="61" applyFont="1" applyBorder="1"/>
    <xf numFmtId="3" fontId="45" fillId="0" borderId="24" xfId="61" applyNumberFormat="1" applyFont="1" applyBorder="1" applyAlignment="1">
      <alignment horizontal="center"/>
    </xf>
    <xf numFmtId="3" fontId="1" fillId="0" borderId="24" xfId="61" applyNumberFormat="1" applyBorder="1" applyAlignment="1">
      <alignment horizontal="center"/>
    </xf>
    <xf numFmtId="0" fontId="4" fillId="0" borderId="38" xfId="61" applyFont="1" applyBorder="1" applyAlignment="1">
      <alignment horizontal="center"/>
    </xf>
    <xf numFmtId="8" fontId="45" fillId="0" borderId="24" xfId="61" applyNumberFormat="1" applyFont="1" applyBorder="1" applyAlignment="1">
      <alignment horizontal="center"/>
    </xf>
    <xf numFmtId="0" fontId="45" fillId="0" borderId="24" xfId="61" applyFont="1" applyBorder="1" applyAlignment="1">
      <alignment horizontal="center"/>
    </xf>
    <xf numFmtId="0" fontId="1" fillId="0" borderId="24" xfId="61" applyBorder="1" applyAlignment="1">
      <alignment horizontal="center"/>
    </xf>
    <xf numFmtId="169" fontId="45" fillId="0" borderId="24" xfId="61" applyNumberFormat="1" applyFont="1" applyBorder="1" applyAlignment="1">
      <alignment horizontal="center"/>
    </xf>
    <xf numFmtId="169" fontId="1" fillId="0" borderId="24" xfId="61" applyNumberFormat="1" applyBorder="1" applyAlignment="1">
      <alignment horizontal="center"/>
    </xf>
    <xf numFmtId="169" fontId="4" fillId="0" borderId="38" xfId="61" applyNumberFormat="1" applyFont="1" applyBorder="1" applyAlignment="1">
      <alignment horizontal="center"/>
    </xf>
    <xf numFmtId="0" fontId="45" fillId="0" borderId="21" xfId="61" applyFont="1" applyBorder="1" applyAlignment="1">
      <alignment horizontal="center"/>
    </xf>
    <xf numFmtId="0" fontId="1" fillId="0" borderId="21" xfId="61" applyBorder="1" applyAlignment="1">
      <alignment horizontal="center"/>
    </xf>
    <xf numFmtId="0" fontId="4" fillId="0" borderId="53" xfId="61" applyFont="1" applyBorder="1"/>
    <xf numFmtId="3" fontId="45" fillId="31" borderId="19" xfId="61" applyNumberFormat="1" applyFont="1" applyFill="1" applyBorder="1" applyAlignment="1">
      <alignment horizontal="center"/>
    </xf>
    <xf numFmtId="3" fontId="1" fillId="31" borderId="19" xfId="61" applyNumberFormat="1" applyFill="1" applyBorder="1" applyAlignment="1">
      <alignment horizontal="center"/>
    </xf>
    <xf numFmtId="0" fontId="4" fillId="0" borderId="54" xfId="61" applyFont="1" applyBorder="1" applyAlignment="1">
      <alignment horizontal="center"/>
    </xf>
    <xf numFmtId="3" fontId="45" fillId="0" borderId="23" xfId="61" applyNumberFormat="1" applyFont="1" applyBorder="1" applyAlignment="1">
      <alignment horizontal="center"/>
    </xf>
    <xf numFmtId="3" fontId="4" fillId="0" borderId="38" xfId="61" applyNumberFormat="1" applyFont="1" applyBorder="1" applyAlignment="1">
      <alignment horizontal="center"/>
    </xf>
    <xf numFmtId="8" fontId="1" fillId="0" borderId="24" xfId="61" applyNumberFormat="1" applyBorder="1" applyAlignment="1">
      <alignment horizontal="center"/>
    </xf>
    <xf numFmtId="44" fontId="45" fillId="0" borderId="24" xfId="61" applyNumberFormat="1" applyFont="1" applyBorder="1" applyAlignment="1">
      <alignment horizontal="center"/>
    </xf>
    <xf numFmtId="44" fontId="4" fillId="0" borderId="38" xfId="61" applyNumberFormat="1" applyFont="1" applyBorder="1" applyAlignment="1">
      <alignment horizontal="center"/>
    </xf>
    <xf numFmtId="0" fontId="4" fillId="0" borderId="39" xfId="61" applyFont="1" applyBorder="1"/>
    <xf numFmtId="6" fontId="45" fillId="0" borderId="52" xfId="61" applyNumberFormat="1" applyFont="1" applyBorder="1" applyAlignment="1">
      <alignment horizontal="center"/>
    </xf>
    <xf numFmtId="6" fontId="1" fillId="0" borderId="52" xfId="61" applyNumberFormat="1" applyBorder="1" applyAlignment="1">
      <alignment horizontal="center"/>
    </xf>
    <xf numFmtId="6" fontId="4" fillId="0" borderId="40" xfId="61" applyNumberFormat="1" applyFont="1" applyBorder="1" applyAlignment="1">
      <alignment horizontal="center"/>
    </xf>
    <xf numFmtId="0" fontId="49" fillId="0" borderId="0" xfId="61" applyFont="1" applyAlignment="1">
      <alignment horizontal="center"/>
    </xf>
    <xf numFmtId="0" fontId="37" fillId="0" borderId="0" xfId="61" applyFont="1"/>
    <xf numFmtId="0" fontId="4" fillId="0" borderId="24" xfId="0" applyFont="1" applyBorder="1" applyAlignment="1">
      <alignment horizontal="center"/>
    </xf>
    <xf numFmtId="44" fontId="4" fillId="27" borderId="33" xfId="39" applyFont="1" applyFill="1" applyBorder="1" applyAlignment="1">
      <alignment horizontal="center" vertical="center"/>
    </xf>
    <xf numFmtId="44" fontId="4" fillId="27" borderId="31" xfId="39" applyFont="1" applyFill="1" applyBorder="1" applyAlignment="1">
      <alignment horizontal="center" vertical="center"/>
    </xf>
    <xf numFmtId="44" fontId="4" fillId="0" borderId="33" xfId="39" applyFont="1" applyFill="1" applyBorder="1" applyAlignment="1">
      <alignment horizontal="center"/>
    </xf>
    <xf numFmtId="44" fontId="4" fillId="0" borderId="31" xfId="39" applyFont="1" applyFill="1" applyBorder="1" applyAlignment="1">
      <alignment horizontal="center"/>
    </xf>
    <xf numFmtId="44" fontId="4" fillId="0" borderId="32" xfId="39" applyFont="1" applyFill="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4" fillId="0" borderId="36" xfId="0" applyFont="1" applyBorder="1" applyAlignment="1">
      <alignment horizontal="center"/>
    </xf>
    <xf numFmtId="0" fontId="4" fillId="0" borderId="24" xfId="0" applyFont="1" applyBorder="1" applyAlignment="1">
      <alignment horizontal="center"/>
    </xf>
    <xf numFmtId="0" fontId="4" fillId="0" borderId="51" xfId="61" applyFont="1" applyBorder="1" applyAlignment="1">
      <alignment horizontal="center"/>
    </xf>
    <xf numFmtId="0" fontId="1" fillId="31" borderId="46" xfId="0" applyFont="1" applyFill="1" applyBorder="1" applyAlignment="1">
      <alignment horizontal="center"/>
    </xf>
    <xf numFmtId="0" fontId="0" fillId="31" borderId="17" xfId="0" applyFill="1" applyBorder="1" applyAlignment="1">
      <alignment horizontal="center"/>
    </xf>
    <xf numFmtId="0" fontId="0" fillId="31" borderId="47" xfId="0" applyFill="1" applyBorder="1" applyAlignment="1">
      <alignment horizontal="center"/>
    </xf>
    <xf numFmtId="44" fontId="1" fillId="30" borderId="42" xfId="39" applyFont="1" applyFill="1" applyBorder="1" applyAlignment="1">
      <alignment horizontal="center"/>
    </xf>
    <xf numFmtId="44" fontId="1" fillId="30" borderId="48" xfId="39" applyFont="1" applyFill="1" applyBorder="1" applyAlignment="1">
      <alignment horizontal="center"/>
    </xf>
    <xf numFmtId="0" fontId="0" fillId="32" borderId="24" xfId="0" applyFill="1" applyBorder="1" applyAlignment="1">
      <alignment horizontal="center"/>
    </xf>
    <xf numFmtId="0" fontId="0" fillId="33" borderId="46" xfId="0" applyFill="1" applyBorder="1" applyAlignment="1">
      <alignment horizontal="center"/>
    </xf>
    <xf numFmtId="0" fontId="0" fillId="33" borderId="17" xfId="0" applyFill="1" applyBorder="1" applyAlignment="1">
      <alignment horizontal="center"/>
    </xf>
    <xf numFmtId="0" fontId="0" fillId="33" borderId="47" xfId="0" applyFill="1" applyBorder="1" applyAlignment="1">
      <alignment horizontal="center"/>
    </xf>
    <xf numFmtId="0" fontId="1" fillId="31" borderId="46" xfId="61" applyFill="1" applyBorder="1" applyAlignment="1">
      <alignment horizontal="center"/>
    </xf>
    <xf numFmtId="0" fontId="1" fillId="31" borderId="17" xfId="61" applyFill="1" applyBorder="1" applyAlignment="1">
      <alignment horizontal="center"/>
    </xf>
    <xf numFmtId="0" fontId="1" fillId="31" borderId="47" xfId="61" applyFill="1" applyBorder="1" applyAlignment="1">
      <alignment horizontal="center"/>
    </xf>
    <xf numFmtId="0" fontId="4" fillId="0" borderId="51" xfId="0" applyFont="1" applyBorder="1" applyAlignment="1">
      <alignment horizontal="center"/>
    </xf>
  </cellXfs>
  <cellStyles count="99">
    <cellStyle name="%" xfId="1" xr:uid="{00000000-0005-0000-0000-000000000000}"/>
    <cellStyle name="]_x000d__x000a_Zoomed=1_x000d__x000a_Row=0_x000d__x000a_Column=0_x000d__x000a_Height=0_x000d__x000a_Width=0_x000d__x000a_FontName=FoxFont_x000d__x000a_FontStyle=0_x000d__x000a_FontSize=9_x000d__x000a_PrtFontName=FoxPrin" xfId="2" xr:uid="{00000000-0005-0000-0000-000001000000}"/>
    <cellStyle name="20% - Accent1" xfId="3" builtinId="30" customBuiltin="1"/>
    <cellStyle name="20% - Accent2" xfId="4" builtinId="34" customBuiltin="1"/>
    <cellStyle name="20% - Accent3" xfId="5" builtinId="38" customBuiltin="1"/>
    <cellStyle name="20% - Accent4" xfId="6" builtinId="42" customBuiltin="1"/>
    <cellStyle name="20% - Accent5" xfId="7" builtinId="46" customBuiltin="1"/>
    <cellStyle name="20% - Accent6" xfId="8" builtinId="50" customBuiltin="1"/>
    <cellStyle name="40% - Accent1" xfId="9" builtinId="31" customBuiltin="1"/>
    <cellStyle name="40% - Accent2" xfId="10" builtinId="35" customBuiltin="1"/>
    <cellStyle name="40% - Accent3" xfId="11" builtinId="39" customBuiltin="1"/>
    <cellStyle name="40% - Accent4" xfId="12" builtinId="43" customBuiltin="1"/>
    <cellStyle name="40% - Accent5" xfId="13" builtinId="47" customBuiltin="1"/>
    <cellStyle name="40% - Accent6" xfId="14" builtinId="51" customBuiltin="1"/>
    <cellStyle name="60% - Accent1" xfId="15" builtinId="32" customBuiltin="1"/>
    <cellStyle name="60% - Accent2" xfId="16" builtinId="36" customBuiltin="1"/>
    <cellStyle name="60% - Accent3" xfId="17" builtinId="40" customBuiltin="1"/>
    <cellStyle name="60% - Accent4" xfId="18" builtinId="44" customBuiltin="1"/>
    <cellStyle name="60% - Accent5" xfId="19" builtinId="48" customBuiltin="1"/>
    <cellStyle name="60% - Accent6" xfId="20" builtinId="52" customBuiltin="1"/>
    <cellStyle name="Accent1" xfId="21" builtinId="29" customBuiltin="1"/>
    <cellStyle name="Accent2" xfId="22" builtinId="33" customBuiltin="1"/>
    <cellStyle name="Accent3" xfId="23" builtinId="37" customBuiltin="1"/>
    <cellStyle name="Accent4" xfId="24" builtinId="41" customBuiltin="1"/>
    <cellStyle name="Accent5" xfId="25" builtinId="45" customBuiltin="1"/>
    <cellStyle name="Accent6" xfId="26" builtinId="49" customBuiltin="1"/>
    <cellStyle name="Bad" xfId="27" builtinId="27" customBuiltin="1"/>
    <cellStyle name="Calculation" xfId="28" builtinId="22" customBuiltin="1"/>
    <cellStyle name="Check Cell" xfId="29" builtinId="23" customBuiltin="1"/>
    <cellStyle name="Comma" xfId="98" builtinId="3"/>
    <cellStyle name="Comma 2" xfId="30" xr:uid="{00000000-0005-0000-0000-00001D000000}"/>
    <cellStyle name="Comma 2 2" xfId="31" xr:uid="{00000000-0005-0000-0000-00001E000000}"/>
    <cellStyle name="Comma 3" xfId="32" xr:uid="{00000000-0005-0000-0000-00001F000000}"/>
    <cellStyle name="Comma 3 2" xfId="33" xr:uid="{00000000-0005-0000-0000-000020000000}"/>
    <cellStyle name="Comma 4" xfId="34" xr:uid="{00000000-0005-0000-0000-000021000000}"/>
    <cellStyle name="Comma 5" xfId="35" xr:uid="{00000000-0005-0000-0000-000022000000}"/>
    <cellStyle name="Comma0" xfId="36" xr:uid="{00000000-0005-0000-0000-000023000000}"/>
    <cellStyle name="Contents" xfId="37" xr:uid="{00000000-0005-0000-0000-000024000000}"/>
    <cellStyle name="CURR" xfId="38" xr:uid="{00000000-0005-0000-0000-000025000000}"/>
    <cellStyle name="Currency" xfId="39" builtinId="4"/>
    <cellStyle name="Currency 2" xfId="40" xr:uid="{00000000-0005-0000-0000-000027000000}"/>
    <cellStyle name="Currency 2 2" xfId="41" xr:uid="{00000000-0005-0000-0000-000028000000}"/>
    <cellStyle name="Currency 3" xfId="42" xr:uid="{00000000-0005-0000-0000-000029000000}"/>
    <cellStyle name="Currency 3 2" xfId="43" xr:uid="{00000000-0005-0000-0000-00002A000000}"/>
    <cellStyle name="Currency 4" xfId="44" xr:uid="{00000000-0005-0000-0000-00002B000000}"/>
    <cellStyle name="Currency 5" xfId="45" xr:uid="{00000000-0005-0000-0000-00002C000000}"/>
    <cellStyle name="Currency0" xfId="46" xr:uid="{00000000-0005-0000-0000-00002D000000}"/>
    <cellStyle name="Date" xfId="47" xr:uid="{00000000-0005-0000-0000-00002E000000}"/>
    <cellStyle name="Explanatory Text" xfId="48" builtinId="53" customBuiltin="1"/>
    <cellStyle name="Fixed" xfId="49" xr:uid="{00000000-0005-0000-0000-000030000000}"/>
    <cellStyle name="Good" xfId="50" builtinId="26" customBuiltin="1"/>
    <cellStyle name="Heading 1" xfId="51" builtinId="16" customBuiltin="1"/>
    <cellStyle name="Heading 2" xfId="52" builtinId="17" customBuiltin="1"/>
    <cellStyle name="Heading 3" xfId="53" builtinId="18" customBuiltin="1"/>
    <cellStyle name="Heading 4" xfId="54" builtinId="19" customBuiltin="1"/>
    <cellStyle name="Input" xfId="55" builtinId="20" customBuiltin="1"/>
    <cellStyle name="LEAName" xfId="56" xr:uid="{00000000-0005-0000-0000-000037000000}"/>
    <cellStyle name="Linked Cell" xfId="57" builtinId="24" customBuiltin="1"/>
    <cellStyle name="Neutral" xfId="58" builtinId="28" customBuiltin="1"/>
    <cellStyle name="Normal" xfId="0" builtinId="0"/>
    <cellStyle name="Normal 2" xfId="59" xr:uid="{00000000-0005-0000-0000-00003B000000}"/>
    <cellStyle name="Normal 2 2" xfId="60" xr:uid="{00000000-0005-0000-0000-00003C000000}"/>
    <cellStyle name="Normal 2 3" xfId="61" xr:uid="{00000000-0005-0000-0000-00003D000000}"/>
    <cellStyle name="Normal 2 4" xfId="62" xr:uid="{00000000-0005-0000-0000-00003E000000}"/>
    <cellStyle name="Normal 2 5" xfId="63" xr:uid="{00000000-0005-0000-0000-00003F000000}"/>
    <cellStyle name="Normal 3" xfId="64" xr:uid="{00000000-0005-0000-0000-000040000000}"/>
    <cellStyle name="Normal 3 2" xfId="65" xr:uid="{00000000-0005-0000-0000-000041000000}"/>
    <cellStyle name="Normal 3 3" xfId="66" xr:uid="{00000000-0005-0000-0000-000042000000}"/>
    <cellStyle name="Normal 4" xfId="67" xr:uid="{00000000-0005-0000-0000-000043000000}"/>
    <cellStyle name="Normal 4 2" xfId="68" xr:uid="{00000000-0005-0000-0000-000044000000}"/>
    <cellStyle name="Normal 5" xfId="69" xr:uid="{00000000-0005-0000-0000-000045000000}"/>
    <cellStyle name="Normal 6" xfId="70" xr:uid="{00000000-0005-0000-0000-000046000000}"/>
    <cellStyle name="Normal 7" xfId="71" xr:uid="{00000000-0005-0000-0000-000047000000}"/>
    <cellStyle name="Normaltext" xfId="72" xr:uid="{00000000-0005-0000-0000-000048000000}"/>
    <cellStyle name="Normgrndtot" xfId="73" xr:uid="{00000000-0005-0000-0000-000049000000}"/>
    <cellStyle name="Normsubtotal" xfId="74" xr:uid="{00000000-0005-0000-0000-00004A000000}"/>
    <cellStyle name="Normtextbold" xfId="75" xr:uid="{00000000-0005-0000-0000-00004B000000}"/>
    <cellStyle name="Normtinteger" xfId="76" xr:uid="{00000000-0005-0000-0000-00004C000000}"/>
    <cellStyle name="Normtotal" xfId="77" xr:uid="{00000000-0005-0000-0000-00004D000000}"/>
    <cellStyle name="Note" xfId="78" builtinId="10" customBuiltin="1"/>
    <cellStyle name="Number" xfId="79" xr:uid="{00000000-0005-0000-0000-00004F000000}"/>
    <cellStyle name="Output" xfId="80" builtinId="21" customBuiltin="1"/>
    <cellStyle name="Output Amounts" xfId="81" xr:uid="{00000000-0005-0000-0000-000051000000}"/>
    <cellStyle name="Output Column Headings" xfId="82" xr:uid="{00000000-0005-0000-0000-000052000000}"/>
    <cellStyle name="Output Line Items" xfId="83" xr:uid="{00000000-0005-0000-0000-000053000000}"/>
    <cellStyle name="Output Report Heading" xfId="84" xr:uid="{00000000-0005-0000-0000-000054000000}"/>
    <cellStyle name="Output Report Title" xfId="85" xr:uid="{00000000-0005-0000-0000-000055000000}"/>
    <cellStyle name="Per cent" xfId="86" builtinId="5"/>
    <cellStyle name="Percent 2" xfId="87" xr:uid="{00000000-0005-0000-0000-000057000000}"/>
    <cellStyle name="Percent 2 2" xfId="88" xr:uid="{00000000-0005-0000-0000-000058000000}"/>
    <cellStyle name="sdso" xfId="89" xr:uid="{00000000-0005-0000-0000-000059000000}"/>
    <cellStyle name="Shadgrndtot" xfId="90" xr:uid="{00000000-0005-0000-0000-00005A000000}"/>
    <cellStyle name="Shadinteger" xfId="91" xr:uid="{00000000-0005-0000-0000-00005B000000}"/>
    <cellStyle name="Shadsubtotal" xfId="92" xr:uid="{00000000-0005-0000-0000-00005C000000}"/>
    <cellStyle name="Shadtext" xfId="93" xr:uid="{00000000-0005-0000-0000-00005D000000}"/>
    <cellStyle name="Shadtotal" xfId="94" xr:uid="{00000000-0005-0000-0000-00005E000000}"/>
    <cellStyle name="Title" xfId="95" builtinId="15" customBuiltin="1"/>
    <cellStyle name="Total" xfId="96" builtinId="25" customBuiltin="1"/>
    <cellStyle name="Warning Text" xfId="97" builtinId="11" customBuiltin="1"/>
  </cellStyles>
  <dxfs count="9">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Graham Young" id="{579D6326-0050-4B05-B478-FF53236EE0C6}" userId="S::gyoung@hillingdon.gov.uk::bcdfe0ac-fe26-4d1d-8cea-688d20f673a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V5" dT="2021-03-26T13:06:12.88" personId="{579D6326-0050-4B05-B478-FF53236EE0C6}" id="{39F2BB47-1D82-4576-96DA-3B283CBAC7C5}">
    <text>Includes MNS Supplement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indexed="10"/>
  </sheetPr>
  <dimension ref="B1:G33"/>
  <sheetViews>
    <sheetView zoomScale="90" zoomScaleNormal="90" workbookViewId="0">
      <selection activeCell="C21" sqref="C21"/>
    </sheetView>
  </sheetViews>
  <sheetFormatPr defaultColWidth="9.1796875" defaultRowHeight="13" x14ac:dyDescent="0.25"/>
  <cols>
    <col min="1" max="1" width="2.7265625" style="37" customWidth="1"/>
    <col min="2" max="2" width="9.1796875" style="38" customWidth="1"/>
    <col min="3" max="3" width="107" style="37" customWidth="1"/>
    <col min="4" max="4" width="13.453125" style="37" customWidth="1"/>
    <col min="5" max="5" width="9.1796875" style="37"/>
    <col min="6" max="6" width="9.54296875" style="37" customWidth="1"/>
    <col min="7" max="16384" width="9.1796875" style="37"/>
  </cols>
  <sheetData>
    <row r="1" spans="2:7" ht="15.5" x14ac:dyDescent="0.25">
      <c r="B1" s="45" t="s">
        <v>0</v>
      </c>
    </row>
    <row r="2" spans="2:7" ht="6" customHeight="1" thickBot="1" x14ac:dyDescent="0.3"/>
    <row r="3" spans="2:7" ht="13.5" thickBot="1" x14ac:dyDescent="0.3">
      <c r="B3" s="95" t="s">
        <v>1</v>
      </c>
      <c r="C3" s="97"/>
    </row>
    <row r="4" spans="2:7" ht="137.25" customHeight="1" x14ac:dyDescent="0.25">
      <c r="B4" s="231"/>
      <c r="C4" s="87" t="s">
        <v>2</v>
      </c>
      <c r="G4" s="86"/>
    </row>
    <row r="5" spans="2:7" ht="90" customHeight="1" x14ac:dyDescent="0.25">
      <c r="B5" s="232"/>
      <c r="C5" s="39" t="s">
        <v>3</v>
      </c>
      <c r="G5" s="86"/>
    </row>
    <row r="6" spans="2:7" ht="28.5" customHeight="1" x14ac:dyDescent="0.25">
      <c r="B6" s="232">
        <v>1</v>
      </c>
      <c r="C6" s="39" t="s">
        <v>4</v>
      </c>
      <c r="G6" s="86"/>
    </row>
    <row r="7" spans="2:7" ht="160.5" customHeight="1" x14ac:dyDescent="0.25">
      <c r="B7" s="232">
        <v>2</v>
      </c>
      <c r="C7" s="39" t="s">
        <v>5</v>
      </c>
    </row>
    <row r="8" spans="2:7" ht="37.5" customHeight="1" x14ac:dyDescent="0.25">
      <c r="B8" s="232">
        <v>3</v>
      </c>
      <c r="C8" s="39" t="s">
        <v>6</v>
      </c>
    </row>
    <row r="9" spans="2:7" ht="67" customHeight="1" x14ac:dyDescent="0.25">
      <c r="B9" s="232"/>
      <c r="C9" s="39" t="s">
        <v>7</v>
      </c>
    </row>
    <row r="10" spans="2:7" ht="41.25" customHeight="1" x14ac:dyDescent="0.25">
      <c r="B10" s="232">
        <v>4</v>
      </c>
      <c r="C10" s="39" t="s">
        <v>8</v>
      </c>
    </row>
    <row r="11" spans="2:7" ht="41.5" customHeight="1" x14ac:dyDescent="0.25">
      <c r="B11" s="232">
        <v>5</v>
      </c>
      <c r="C11" s="39" t="s">
        <v>9</v>
      </c>
    </row>
    <row r="12" spans="2:7" ht="52.5" customHeight="1" x14ac:dyDescent="0.25">
      <c r="B12" s="232">
        <v>6</v>
      </c>
      <c r="C12" s="39" t="s">
        <v>10</v>
      </c>
    </row>
    <row r="13" spans="2:7" ht="66" customHeight="1" x14ac:dyDescent="0.25">
      <c r="B13" s="232">
        <v>7</v>
      </c>
      <c r="C13" s="39" t="s">
        <v>11</v>
      </c>
    </row>
    <row r="14" spans="2:7" ht="63" customHeight="1" x14ac:dyDescent="0.25">
      <c r="B14" s="232">
        <v>8</v>
      </c>
      <c r="C14" s="39" t="s">
        <v>12</v>
      </c>
    </row>
    <row r="15" spans="2:7" ht="78" customHeight="1" x14ac:dyDescent="0.25">
      <c r="B15" s="232">
        <v>9</v>
      </c>
      <c r="C15" s="39" t="s">
        <v>13</v>
      </c>
    </row>
    <row r="16" spans="2:7" ht="41.5" customHeight="1" x14ac:dyDescent="0.25">
      <c r="B16" s="233">
        <v>10</v>
      </c>
      <c r="C16" s="39" t="s">
        <v>14</v>
      </c>
    </row>
    <row r="17" spans="2:7" ht="28" customHeight="1" thickBot="1" x14ac:dyDescent="0.3">
      <c r="B17" s="234">
        <v>11</v>
      </c>
      <c r="C17" s="40" t="s">
        <v>15</v>
      </c>
    </row>
    <row r="18" spans="2:7" ht="13.5" thickBot="1" x14ac:dyDescent="0.3">
      <c r="C18" s="321"/>
    </row>
    <row r="19" spans="2:7" ht="13.5" thickBot="1" x14ac:dyDescent="0.3">
      <c r="B19" s="95" t="s">
        <v>16</v>
      </c>
      <c r="C19" s="96"/>
    </row>
    <row r="20" spans="2:7" ht="151" x14ac:dyDescent="0.25">
      <c r="B20" s="233">
        <v>12</v>
      </c>
      <c r="C20" s="235" t="s">
        <v>17</v>
      </c>
      <c r="D20" s="268"/>
      <c r="E20" s="267"/>
      <c r="F20" s="269"/>
    </row>
    <row r="21" spans="2:7" ht="81.650000000000006" customHeight="1" x14ac:dyDescent="0.25">
      <c r="B21" s="233">
        <v>13</v>
      </c>
      <c r="C21" s="39" t="s">
        <v>18</v>
      </c>
      <c r="E21" s="86"/>
      <c r="G21" s="255"/>
    </row>
    <row r="22" spans="2:7" ht="58" customHeight="1" thickBot="1" x14ac:dyDescent="0.3">
      <c r="B22" s="233">
        <v>14</v>
      </c>
      <c r="C22" s="40" t="s">
        <v>19</v>
      </c>
    </row>
    <row r="23" spans="2:7" ht="13.5" thickBot="1" x14ac:dyDescent="0.3">
      <c r="B23" s="95"/>
      <c r="C23" s="97"/>
    </row>
    <row r="24" spans="2:7" ht="13.5" thickBot="1" x14ac:dyDescent="0.3">
      <c r="B24" s="103" t="s">
        <v>20</v>
      </c>
      <c r="C24" s="104"/>
    </row>
    <row r="25" spans="2:7" ht="63" x14ac:dyDescent="0.25">
      <c r="B25" s="272" t="s">
        <v>21</v>
      </c>
      <c r="C25" s="235" t="s">
        <v>22</v>
      </c>
    </row>
    <row r="26" spans="2:7" ht="37.5" x14ac:dyDescent="0.25">
      <c r="B26" s="233">
        <v>16</v>
      </c>
      <c r="C26" s="236" t="s">
        <v>23</v>
      </c>
    </row>
    <row r="27" spans="2:7" ht="37.5" x14ac:dyDescent="0.25">
      <c r="B27" s="233">
        <v>17</v>
      </c>
      <c r="C27" s="236" t="s">
        <v>24</v>
      </c>
    </row>
    <row r="28" spans="2:7" ht="21.65" customHeight="1" x14ac:dyDescent="0.3">
      <c r="B28" s="233"/>
      <c r="C28" s="320" t="s">
        <v>25</v>
      </c>
    </row>
    <row r="29" spans="2:7" ht="49.5" customHeight="1" x14ac:dyDescent="0.25">
      <c r="B29" s="233">
        <v>18</v>
      </c>
      <c r="C29" s="319" t="s">
        <v>26</v>
      </c>
    </row>
    <row r="30" spans="2:7" ht="42" customHeight="1" x14ac:dyDescent="0.25">
      <c r="B30" s="233">
        <v>19</v>
      </c>
      <c r="C30" s="236" t="s">
        <v>27</v>
      </c>
    </row>
    <row r="31" spans="2:7" ht="62.5" x14ac:dyDescent="0.25">
      <c r="B31" s="233">
        <v>20</v>
      </c>
      <c r="C31" s="236" t="s">
        <v>28</v>
      </c>
      <c r="D31" s="267"/>
    </row>
    <row r="32" spans="2:7" x14ac:dyDescent="0.25">
      <c r="B32" s="232" t="s">
        <v>29</v>
      </c>
      <c r="C32" s="236" t="s">
        <v>30</v>
      </c>
    </row>
    <row r="33" spans="2:3" ht="26" thickBot="1" x14ac:dyDescent="0.3">
      <c r="B33" s="234">
        <v>23</v>
      </c>
      <c r="C33" s="40" t="s">
        <v>31</v>
      </c>
    </row>
  </sheetData>
  <phoneticPr fontId="2" type="noConversion"/>
  <printOptions horizontalCentered="1" gridLines="1"/>
  <pageMargins left="0.23622047244094491" right="0.23622047244094491" top="0.47244094488188981" bottom="0.43307086614173229" header="0.27559055118110237" footer="0.23622047244094491"/>
  <pageSetup paperSize="9" scale="79" fitToHeight="2" orientation="portrait" r:id="rId1"/>
  <headerFooter alignWithMargins="0"/>
  <rowBreaks count="1" manualBreakCount="1">
    <brk id="17"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C16"/>
  <sheetViews>
    <sheetView workbookViewId="0">
      <selection activeCell="C11" sqref="C11"/>
    </sheetView>
  </sheetViews>
  <sheetFormatPr defaultRowHeight="12.5" x14ac:dyDescent="0.25"/>
  <sheetData>
    <row r="1" spans="2:3" x14ac:dyDescent="0.25">
      <c r="C1" t="s">
        <v>421</v>
      </c>
    </row>
    <row r="2" spans="2:3" x14ac:dyDescent="0.25">
      <c r="B2" s="85">
        <v>1</v>
      </c>
      <c r="C2" t="s">
        <v>422</v>
      </c>
    </row>
    <row r="3" spans="2:3" x14ac:dyDescent="0.25">
      <c r="B3" s="85">
        <v>2</v>
      </c>
      <c r="C3" t="s">
        <v>423</v>
      </c>
    </row>
    <row r="4" spans="2:3" x14ac:dyDescent="0.25">
      <c r="B4" s="85">
        <v>3</v>
      </c>
      <c r="C4" t="s">
        <v>424</v>
      </c>
    </row>
    <row r="5" spans="2:3" x14ac:dyDescent="0.25">
      <c r="B5" s="85">
        <v>4</v>
      </c>
      <c r="C5" t="s">
        <v>425</v>
      </c>
    </row>
    <row r="6" spans="2:3" x14ac:dyDescent="0.25">
      <c r="B6" s="85">
        <v>5</v>
      </c>
      <c r="C6" t="s">
        <v>426</v>
      </c>
    </row>
    <row r="7" spans="2:3" x14ac:dyDescent="0.25">
      <c r="B7" s="85">
        <v>6</v>
      </c>
      <c r="C7" t="s">
        <v>427</v>
      </c>
    </row>
    <row r="8" spans="2:3" x14ac:dyDescent="0.25">
      <c r="B8" s="85">
        <v>7</v>
      </c>
      <c r="C8" t="s">
        <v>428</v>
      </c>
    </row>
    <row r="9" spans="2:3" x14ac:dyDescent="0.25">
      <c r="B9" s="85">
        <v>8</v>
      </c>
      <c r="C9" t="s">
        <v>429</v>
      </c>
    </row>
    <row r="10" spans="2:3" x14ac:dyDescent="0.25">
      <c r="B10" s="85">
        <v>9</v>
      </c>
      <c r="C10" t="s">
        <v>430</v>
      </c>
    </row>
    <row r="11" spans="2:3" x14ac:dyDescent="0.25">
      <c r="B11" s="85">
        <v>10</v>
      </c>
    </row>
    <row r="12" spans="2:3" x14ac:dyDescent="0.25">
      <c r="B12" s="85">
        <v>11</v>
      </c>
    </row>
    <row r="13" spans="2:3" x14ac:dyDescent="0.25">
      <c r="B13" s="85">
        <v>12</v>
      </c>
    </row>
    <row r="14" spans="2:3" x14ac:dyDescent="0.25">
      <c r="B14" s="85">
        <v>13</v>
      </c>
    </row>
    <row r="15" spans="2:3" x14ac:dyDescent="0.25">
      <c r="B15" s="85">
        <v>14</v>
      </c>
    </row>
    <row r="16" spans="2:3" x14ac:dyDescent="0.25">
      <c r="B16" s="85">
        <v>15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47"/>
    <pageSetUpPr fitToPage="1"/>
  </sheetPr>
  <dimension ref="A1:O98"/>
  <sheetViews>
    <sheetView showGridLines="0" tabSelected="1" zoomScale="90" zoomScaleNormal="90" workbookViewId="0">
      <pane xSplit="1" ySplit="4" topLeftCell="B5" activePane="bottomRight" state="frozen"/>
      <selection pane="topRight" activeCell="B1" sqref="B1"/>
      <selection pane="bottomLeft" activeCell="A5" sqref="A5"/>
      <selection pane="bottomRight" activeCell="B3" sqref="B3"/>
    </sheetView>
  </sheetViews>
  <sheetFormatPr defaultRowHeight="12.5" x14ac:dyDescent="0.25"/>
  <cols>
    <col min="1" max="1" width="13.54296875" customWidth="1"/>
    <col min="2" max="2" width="60.26953125" customWidth="1"/>
    <col min="3" max="3" width="13.453125" customWidth="1"/>
    <col min="4" max="4" width="10.26953125" customWidth="1"/>
    <col min="5" max="5" width="21.81640625" customWidth="1"/>
    <col min="6" max="6" width="4.1796875" customWidth="1"/>
    <col min="7" max="7" width="6.7265625" style="85" bestFit="1" customWidth="1"/>
    <col min="9" max="10" width="13.81640625" bestFit="1" customWidth="1"/>
    <col min="12" max="12" width="9.1796875" customWidth="1"/>
    <col min="13" max="13" width="36.7265625" hidden="1" customWidth="1"/>
    <col min="14" max="14" width="9.1796875" hidden="1" customWidth="1"/>
    <col min="15" max="15" width="9.1796875" customWidth="1"/>
  </cols>
  <sheetData>
    <row r="1" spans="1:15" ht="20" x14ac:dyDescent="0.4">
      <c r="A1" s="141" t="s">
        <v>32</v>
      </c>
    </row>
    <row r="2" spans="1:15" ht="18.5" thickBot="1" x14ac:dyDescent="0.45">
      <c r="B2" s="43"/>
    </row>
    <row r="3" spans="1:15" ht="13.5" thickBot="1" x14ac:dyDescent="0.35">
      <c r="A3" s="3" t="s">
        <v>33</v>
      </c>
      <c r="B3" s="327" t="s">
        <v>34</v>
      </c>
    </row>
    <row r="4" spans="1:15" ht="13.5" thickBot="1" x14ac:dyDescent="0.35">
      <c r="A4" s="3" t="s">
        <v>35</v>
      </c>
      <c r="B4" s="6">
        <f>VLOOKUP(B3,M:N,2,0)</f>
        <v>5400</v>
      </c>
      <c r="M4" t="s">
        <v>36</v>
      </c>
    </row>
    <row r="5" spans="1:15" x14ac:dyDescent="0.25">
      <c r="M5" t="s">
        <v>37</v>
      </c>
      <c r="N5">
        <v>5412</v>
      </c>
    </row>
    <row r="6" spans="1:15" ht="13" x14ac:dyDescent="0.3">
      <c r="B6" s="21"/>
      <c r="C6" s="22" t="s">
        <v>38</v>
      </c>
      <c r="D6" s="22" t="s">
        <v>39</v>
      </c>
      <c r="E6" s="22" t="s">
        <v>40</v>
      </c>
      <c r="G6" s="245" t="s">
        <v>41</v>
      </c>
      <c r="I6" s="48"/>
      <c r="J6" s="2"/>
      <c r="M6" s="48" t="s">
        <v>42</v>
      </c>
      <c r="N6">
        <v>2001</v>
      </c>
      <c r="O6" s="48"/>
    </row>
    <row r="7" spans="1:15" x14ac:dyDescent="0.25">
      <c r="B7" s="8" t="s">
        <v>43</v>
      </c>
      <c r="C7" s="9">
        <f>'All Schools'!AC3</f>
        <v>3747.49608223616</v>
      </c>
      <c r="D7" s="241">
        <f>VLOOKUP($B$4,'All Schools'!$B$6:$BV$98,4,0)</f>
        <v>0</v>
      </c>
      <c r="E7" s="10">
        <f>C7*D7</f>
        <v>0</v>
      </c>
      <c r="G7" s="246">
        <v>1</v>
      </c>
      <c r="I7" s="48"/>
      <c r="J7" s="2"/>
      <c r="M7" s="48" t="s">
        <v>44</v>
      </c>
      <c r="N7">
        <v>4600</v>
      </c>
    </row>
    <row r="8" spans="1:15" x14ac:dyDescent="0.25">
      <c r="B8" s="11" t="s">
        <v>45</v>
      </c>
      <c r="C8" s="12">
        <f>'All Schools'!AD3</f>
        <v>4859.2250883681654</v>
      </c>
      <c r="D8" s="242">
        <f>VLOOKUP($B$4,'All Schools'!$B$6:$BV$98,6,0)</f>
        <v>557</v>
      </c>
      <c r="E8" s="13">
        <f>C8*D8</f>
        <v>2706588.3742210683</v>
      </c>
      <c r="G8" s="246">
        <v>1</v>
      </c>
      <c r="I8" s="48"/>
      <c r="J8" s="2"/>
      <c r="M8" t="s">
        <v>34</v>
      </c>
      <c r="N8">
        <v>5400</v>
      </c>
    </row>
    <row r="9" spans="1:15" x14ac:dyDescent="0.25">
      <c r="B9" s="14" t="s">
        <v>46</v>
      </c>
      <c r="C9" s="15">
        <f>'All Schools'!AE3</f>
        <v>5553.396637058876</v>
      </c>
      <c r="D9" s="243">
        <f>VLOOKUP($B$4,'All Schools'!$B$6:$BV$98,7,0)</f>
        <v>369</v>
      </c>
      <c r="E9" s="16">
        <f>C9*D9</f>
        <v>2049203.3590747253</v>
      </c>
      <c r="G9" s="246">
        <v>1</v>
      </c>
      <c r="I9" s="48"/>
      <c r="J9" s="2"/>
      <c r="M9" t="s">
        <v>47</v>
      </c>
      <c r="N9">
        <v>3401</v>
      </c>
    </row>
    <row r="10" spans="1:15" ht="13" x14ac:dyDescent="0.3">
      <c r="B10" s="17" t="s">
        <v>48</v>
      </c>
      <c r="C10" s="17"/>
      <c r="D10" s="244">
        <f>SUM(D7:D9)</f>
        <v>926</v>
      </c>
      <c r="E10" s="264">
        <f>SUM(E7:E9)</f>
        <v>4755791.7332957936</v>
      </c>
      <c r="G10" s="246"/>
      <c r="I10" s="48"/>
      <c r="J10" s="2"/>
      <c r="M10" t="s">
        <v>49</v>
      </c>
      <c r="N10">
        <v>2003</v>
      </c>
    </row>
    <row r="11" spans="1:15" x14ac:dyDescent="0.25">
      <c r="D11" s="240"/>
      <c r="E11" s="1"/>
      <c r="G11" s="247"/>
      <c r="I11" s="2"/>
      <c r="J11" s="2"/>
      <c r="M11" t="s">
        <v>50</v>
      </c>
      <c r="N11">
        <v>2002</v>
      </c>
    </row>
    <row r="12" spans="1:15" x14ac:dyDescent="0.25">
      <c r="B12" s="83" t="s">
        <v>51</v>
      </c>
      <c r="C12" s="9">
        <f>'All Schools'!AF3</f>
        <v>1110.8699999999999</v>
      </c>
      <c r="D12" s="238">
        <f>VLOOKUP($B$4,'All Schools'!$B$6:$BV$98,8,0)</f>
        <v>0</v>
      </c>
      <c r="E12" s="10">
        <f>D12*C12</f>
        <v>0</v>
      </c>
      <c r="G12" s="246">
        <v>2</v>
      </c>
      <c r="I12" s="2"/>
      <c r="M12" s="48" t="s">
        <v>52</v>
      </c>
      <c r="N12">
        <v>3300</v>
      </c>
    </row>
    <row r="13" spans="1:15" x14ac:dyDescent="0.25">
      <c r="B13" s="53" t="s">
        <v>53</v>
      </c>
      <c r="C13" s="12">
        <f>'All Schools'!AG3</f>
        <v>1444.13</v>
      </c>
      <c r="D13" s="239">
        <f>VLOOKUP($B$4,'All Schools'!$B$6:$BV$98,9,0)</f>
        <v>263.01178992497324</v>
      </c>
      <c r="E13" s="13">
        <f>D13*C13</f>
        <v>379823.21618435165</v>
      </c>
      <c r="G13" s="246">
        <v>2</v>
      </c>
      <c r="I13" s="2"/>
      <c r="M13" t="s">
        <v>54</v>
      </c>
      <c r="N13">
        <v>5206</v>
      </c>
    </row>
    <row r="14" spans="1:15" x14ac:dyDescent="0.25">
      <c r="B14" s="53" t="s">
        <v>55</v>
      </c>
      <c r="C14" s="12">
        <f>'All Schools'!AH3</f>
        <v>105.25</v>
      </c>
      <c r="D14" s="239">
        <f>VLOOKUP($B$4,'All Schools'!$B$6:$BV$98,10,0)</f>
        <v>0</v>
      </c>
      <c r="E14" s="13">
        <f t="shared" ref="E14:E30" si="0">D14*C14</f>
        <v>0</v>
      </c>
      <c r="G14" s="246">
        <v>2</v>
      </c>
      <c r="I14" s="2"/>
      <c r="M14" s="48" t="s">
        <v>56</v>
      </c>
      <c r="N14">
        <v>2084</v>
      </c>
    </row>
    <row r="15" spans="1:15" x14ac:dyDescent="0.25">
      <c r="B15" s="53" t="s">
        <v>57</v>
      </c>
      <c r="C15" s="12">
        <f>'All Schools'!AI3</f>
        <v>210.5</v>
      </c>
      <c r="D15" s="239">
        <f>VLOOKUP($B$4,'All Schools'!$B$6:$BV$98,11,0)</f>
        <v>0</v>
      </c>
      <c r="E15" s="13">
        <f t="shared" si="0"/>
        <v>0</v>
      </c>
      <c r="G15" s="246">
        <v>2</v>
      </c>
      <c r="I15" s="2"/>
      <c r="M15" s="48" t="s">
        <v>58</v>
      </c>
      <c r="N15">
        <v>2010</v>
      </c>
    </row>
    <row r="16" spans="1:15" x14ac:dyDescent="0.25">
      <c r="B16" s="53" t="s">
        <v>59</v>
      </c>
      <c r="C16" s="12">
        <f>'All Schools'!AJ3</f>
        <v>315.75</v>
      </c>
      <c r="D16" s="239">
        <f>VLOOKUP($B$4,'All Schools'!$B$6:$BV$98,12,0)</f>
        <v>0</v>
      </c>
      <c r="E16" s="13">
        <f t="shared" si="0"/>
        <v>0</v>
      </c>
      <c r="G16" s="246">
        <v>2</v>
      </c>
      <c r="I16" s="2"/>
      <c r="M16" t="s">
        <v>60</v>
      </c>
      <c r="N16">
        <v>2012</v>
      </c>
    </row>
    <row r="17" spans="1:14" x14ac:dyDescent="0.25">
      <c r="B17" s="53" t="s">
        <v>61</v>
      </c>
      <c r="C17" s="12">
        <f>'All Schools'!AK3</f>
        <v>421</v>
      </c>
      <c r="D17" s="239">
        <f>VLOOKUP($B$4,'All Schools'!$B$6:$BV$98,13,0)</f>
        <v>0</v>
      </c>
      <c r="E17" s="13">
        <f t="shared" si="0"/>
        <v>0</v>
      </c>
      <c r="G17" s="246">
        <v>2</v>
      </c>
      <c r="I17" s="2"/>
      <c r="M17" t="s">
        <v>62</v>
      </c>
      <c r="N17">
        <v>2011</v>
      </c>
    </row>
    <row r="18" spans="1:14" x14ac:dyDescent="0.25">
      <c r="B18" s="53" t="s">
        <v>63</v>
      </c>
      <c r="C18" s="12">
        <f>'All Schools'!AL3</f>
        <v>526.25</v>
      </c>
      <c r="D18" s="239">
        <f>VLOOKUP($B$4,'All Schools'!$B$6:$BV$98,14,0)</f>
        <v>0</v>
      </c>
      <c r="E18" s="13">
        <f t="shared" si="0"/>
        <v>0</v>
      </c>
      <c r="G18" s="246">
        <v>2</v>
      </c>
      <c r="I18" s="2"/>
      <c r="M18" s="48" t="s">
        <v>64</v>
      </c>
      <c r="N18">
        <v>3410</v>
      </c>
    </row>
    <row r="19" spans="1:14" x14ac:dyDescent="0.25">
      <c r="B19" s="53" t="s">
        <v>65</v>
      </c>
      <c r="C19" s="12">
        <f>'All Schools'!AM3</f>
        <v>631.5</v>
      </c>
      <c r="D19" s="239">
        <f>VLOOKUP($B$4,'All Schools'!$B$6:$BV$98,15,0)</f>
        <v>0</v>
      </c>
      <c r="E19" s="13">
        <f t="shared" si="0"/>
        <v>0</v>
      </c>
      <c r="G19" s="246">
        <v>2</v>
      </c>
      <c r="I19" s="2"/>
      <c r="M19" t="s">
        <v>66</v>
      </c>
      <c r="N19">
        <v>2078</v>
      </c>
    </row>
    <row r="20" spans="1:14" x14ac:dyDescent="0.25">
      <c r="B20" s="53" t="s">
        <v>67</v>
      </c>
      <c r="C20" s="12">
        <f>'All Schools'!AN3</f>
        <v>136.83000000000001</v>
      </c>
      <c r="D20" s="239">
        <f>VLOOKUP($B$4,'All Schools'!$B$6:$BV$98,16,0)</f>
        <v>189.00000000000048</v>
      </c>
      <c r="E20" s="13">
        <f t="shared" si="0"/>
        <v>25860.870000000068</v>
      </c>
      <c r="G20" s="246">
        <v>2</v>
      </c>
      <c r="I20" s="2"/>
      <c r="M20" t="s">
        <v>68</v>
      </c>
      <c r="N20">
        <v>4009</v>
      </c>
    </row>
    <row r="21" spans="1:14" x14ac:dyDescent="0.25">
      <c r="B21" s="53" t="s">
        <v>69</v>
      </c>
      <c r="C21" s="12">
        <f>'All Schools'!AO3</f>
        <v>273.65000000000003</v>
      </c>
      <c r="D21" s="239">
        <f>VLOOKUP($B$4,'All Schools'!$B$6:$BV$98,17,0)</f>
        <v>196.99999999999991</v>
      </c>
      <c r="E21" s="13">
        <f t="shared" si="0"/>
        <v>53909.049999999981</v>
      </c>
      <c r="G21" s="246">
        <v>2</v>
      </c>
      <c r="I21" s="2"/>
      <c r="M21" t="s">
        <v>70</v>
      </c>
      <c r="N21">
        <v>2016</v>
      </c>
    </row>
    <row r="22" spans="1:14" x14ac:dyDescent="0.25">
      <c r="B22" s="53" t="s">
        <v>71</v>
      </c>
      <c r="C22" s="12">
        <f>'All Schools'!AP3</f>
        <v>410.48</v>
      </c>
      <c r="D22" s="239">
        <f>VLOOKUP($B$4,'All Schools'!$B$6:$BV$98,18,0)</f>
        <v>19.000000000000007</v>
      </c>
      <c r="E22" s="13">
        <f t="shared" si="0"/>
        <v>7799.1200000000035</v>
      </c>
      <c r="G22" s="246">
        <v>2</v>
      </c>
      <c r="I22" s="2"/>
      <c r="M22" t="s">
        <v>72</v>
      </c>
      <c r="N22">
        <v>3307</v>
      </c>
    </row>
    <row r="23" spans="1:14" x14ac:dyDescent="0.25">
      <c r="B23" s="53" t="s">
        <v>73</v>
      </c>
      <c r="C23" s="12">
        <f>'All Schools'!AQ3</f>
        <v>547.29999999999995</v>
      </c>
      <c r="D23" s="239">
        <f>VLOOKUP($B$4,'All Schools'!$B$6:$BV$98,19,0)</f>
        <v>1.999999999999996</v>
      </c>
      <c r="E23" s="13">
        <f t="shared" si="0"/>
        <v>1094.5999999999976</v>
      </c>
      <c r="G23" s="246">
        <v>2</v>
      </c>
      <c r="I23" s="2"/>
      <c r="M23" s="41" t="s">
        <v>74</v>
      </c>
      <c r="N23">
        <v>2019</v>
      </c>
    </row>
    <row r="24" spans="1:14" x14ac:dyDescent="0.25">
      <c r="B24" s="53" t="s">
        <v>75</v>
      </c>
      <c r="C24" s="12">
        <f>'All Schools'!AR3</f>
        <v>684.12</v>
      </c>
      <c r="D24" s="239">
        <f>VLOOKUP($B$4,'All Schools'!$B$6:$BV$98,20,0)</f>
        <v>1.0000000000000027</v>
      </c>
      <c r="E24" s="13">
        <f t="shared" si="0"/>
        <v>684.12000000000182</v>
      </c>
      <c r="G24" s="246">
        <v>2</v>
      </c>
      <c r="I24" s="2"/>
      <c r="M24" t="s">
        <v>76</v>
      </c>
      <c r="N24">
        <v>2018</v>
      </c>
    </row>
    <row r="25" spans="1:14" x14ac:dyDescent="0.25">
      <c r="B25" s="53" t="s">
        <v>77</v>
      </c>
      <c r="C25" s="12">
        <f>'All Schools'!AS3</f>
        <v>820.95</v>
      </c>
      <c r="D25" s="239">
        <f>VLOOKUP($B$4,'All Schools'!$B$6:$BV$98,21,0)</f>
        <v>0</v>
      </c>
      <c r="E25" s="13">
        <f t="shared" si="0"/>
        <v>0</v>
      </c>
      <c r="G25" s="246">
        <v>2</v>
      </c>
      <c r="I25" s="2"/>
      <c r="M25" t="s">
        <v>78</v>
      </c>
      <c r="N25">
        <v>2076</v>
      </c>
    </row>
    <row r="26" spans="1:14" x14ac:dyDescent="0.25">
      <c r="B26" s="11" t="s">
        <v>79</v>
      </c>
      <c r="C26" s="12">
        <f>'All Schools'!AT3</f>
        <v>791.7</v>
      </c>
      <c r="D26" s="239">
        <f>VLOOKUP($B$4,'All Schools'!$B$6:$BV$98,22,0)</f>
        <v>0</v>
      </c>
      <c r="E26" s="13">
        <f t="shared" si="0"/>
        <v>0</v>
      </c>
      <c r="G26" s="246">
        <v>3</v>
      </c>
      <c r="I26" s="2"/>
      <c r="M26" t="s">
        <v>80</v>
      </c>
      <c r="N26">
        <v>2020</v>
      </c>
    </row>
    <row r="27" spans="1:14" x14ac:dyDescent="0.25">
      <c r="B27" s="11" t="s">
        <v>81</v>
      </c>
      <c r="C27" s="12">
        <f>'All Schools'!AU3</f>
        <v>1192.9000000000001</v>
      </c>
      <c r="D27" s="239">
        <f>VLOOKUP($B$4,'All Schools'!$B$6:$BV$98,23,0)</f>
        <v>17.073752711496795</v>
      </c>
      <c r="E27" s="13">
        <f t="shared" si="0"/>
        <v>20367.279609544526</v>
      </c>
      <c r="G27" s="246">
        <v>3</v>
      </c>
      <c r="I27" s="2"/>
      <c r="M27" s="41" t="s">
        <v>82</v>
      </c>
      <c r="N27">
        <v>5203</v>
      </c>
    </row>
    <row r="28" spans="1:14" ht="13" x14ac:dyDescent="0.3">
      <c r="A28" s="48"/>
      <c r="B28" s="53" t="s">
        <v>83</v>
      </c>
      <c r="C28" s="12">
        <f>'All Schools'!AV3</f>
        <v>632.01</v>
      </c>
      <c r="D28" s="239">
        <f>VLOOKUP($B$4,'All Schools'!$B$6:$BV$98,24,0)</f>
        <v>0</v>
      </c>
      <c r="E28" s="13">
        <f t="shared" si="0"/>
        <v>0</v>
      </c>
      <c r="F28" s="266" t="s">
        <v>84</v>
      </c>
      <c r="G28" s="246">
        <v>4</v>
      </c>
      <c r="I28" s="2"/>
      <c r="M28" s="48" t="s">
        <v>85</v>
      </c>
      <c r="N28">
        <v>5202</v>
      </c>
    </row>
    <row r="29" spans="1:14" ht="13" x14ac:dyDescent="0.3">
      <c r="A29" s="48"/>
      <c r="B29" s="53" t="s">
        <v>86</v>
      </c>
      <c r="C29" s="12">
        <f>'All Schools'!AW3</f>
        <v>1767.4</v>
      </c>
      <c r="D29" s="239">
        <f>VLOOKUP($B$4,'All Schools'!$B$6:$BV$98,25,0)</f>
        <v>199.97618173567952</v>
      </c>
      <c r="E29" s="13">
        <f t="shared" si="0"/>
        <v>353437.90359964001</v>
      </c>
      <c r="F29" s="266" t="s">
        <v>84</v>
      </c>
      <c r="G29" s="246">
        <v>5</v>
      </c>
      <c r="I29" s="2"/>
      <c r="M29" t="s">
        <v>87</v>
      </c>
      <c r="N29">
        <v>4654</v>
      </c>
    </row>
    <row r="30" spans="1:14" x14ac:dyDescent="0.25">
      <c r="B30" s="11" t="s">
        <v>88</v>
      </c>
      <c r="C30" s="12">
        <f>'All Schools'!AX3</f>
        <v>989.1</v>
      </c>
      <c r="D30" s="239">
        <f>VLOOKUP($B$4,'All Schools'!$B$6:$BV$98,26,0)</f>
        <v>0</v>
      </c>
      <c r="E30" s="13">
        <f t="shared" si="0"/>
        <v>0</v>
      </c>
      <c r="G30" s="246">
        <v>6</v>
      </c>
      <c r="I30" s="2"/>
      <c r="M30" t="s">
        <v>89</v>
      </c>
      <c r="N30">
        <v>2024</v>
      </c>
    </row>
    <row r="31" spans="1:14" x14ac:dyDescent="0.25">
      <c r="B31" s="11" t="s">
        <v>90</v>
      </c>
      <c r="C31" s="12">
        <f>'All Schools'!AY3</f>
        <v>1417.7</v>
      </c>
      <c r="D31" s="239">
        <f>VLOOKUP($B$4,'All Schools'!$B$6:$BV$98,27,0)</f>
        <v>0</v>
      </c>
      <c r="E31" s="13">
        <f>D31*C31</f>
        <v>0</v>
      </c>
      <c r="G31" s="246">
        <v>6</v>
      </c>
      <c r="I31" s="2"/>
      <c r="M31" s="48" t="s">
        <v>91</v>
      </c>
      <c r="N31">
        <v>2023</v>
      </c>
    </row>
    <row r="32" spans="1:14" ht="13" x14ac:dyDescent="0.3">
      <c r="B32" s="18" t="s">
        <v>92</v>
      </c>
      <c r="C32" s="18"/>
      <c r="D32" s="18"/>
      <c r="E32" s="264">
        <f>SUM(E12:E31)</f>
        <v>842976.15939353616</v>
      </c>
      <c r="G32" s="246"/>
      <c r="M32" t="s">
        <v>93</v>
      </c>
      <c r="N32">
        <v>5411</v>
      </c>
    </row>
    <row r="33" spans="2:14" x14ac:dyDescent="0.25">
      <c r="E33" s="1"/>
      <c r="G33" s="247"/>
      <c r="M33" t="s">
        <v>94</v>
      </c>
      <c r="N33">
        <v>2025</v>
      </c>
    </row>
    <row r="34" spans="2:14" x14ac:dyDescent="0.25">
      <c r="B34" s="8" t="s">
        <v>95</v>
      </c>
      <c r="C34" s="9">
        <v>140000</v>
      </c>
      <c r="D34" s="8"/>
      <c r="E34" s="10">
        <f>C34</f>
        <v>140000</v>
      </c>
      <c r="G34" s="246"/>
      <c r="I34" s="2"/>
      <c r="M34" t="s">
        <v>96</v>
      </c>
      <c r="N34">
        <v>2026</v>
      </c>
    </row>
    <row r="35" spans="2:14" x14ac:dyDescent="0.25">
      <c r="B35" s="11" t="s">
        <v>97</v>
      </c>
      <c r="C35" s="12"/>
      <c r="D35" s="11"/>
      <c r="E35" s="13">
        <f>VLOOKUP($B$4,'All Schools'!$B$6:$BV$98,52,0)</f>
        <v>37772</v>
      </c>
      <c r="G35" s="246">
        <v>7</v>
      </c>
      <c r="I35" s="2"/>
      <c r="M35" t="s">
        <v>98</v>
      </c>
      <c r="N35">
        <v>5401</v>
      </c>
    </row>
    <row r="36" spans="2:14" x14ac:dyDescent="0.25">
      <c r="B36" s="53" t="s">
        <v>99</v>
      </c>
      <c r="C36" s="12"/>
      <c r="D36" s="11"/>
      <c r="E36" s="13">
        <f>VLOOKUP($B$4,'All Schools'!$B$6:$BV$98,53,0)</f>
        <v>2272</v>
      </c>
      <c r="G36" s="246">
        <v>7</v>
      </c>
      <c r="M36" t="s">
        <v>100</v>
      </c>
      <c r="N36">
        <v>5211</v>
      </c>
    </row>
    <row r="37" spans="2:14" x14ac:dyDescent="0.25">
      <c r="B37" s="11" t="s">
        <v>101</v>
      </c>
      <c r="C37" s="12"/>
      <c r="D37" s="11"/>
      <c r="E37" s="13">
        <f>VLOOKUP($B$4,'All Schools'!$B$6:$BV$98,54,0)</f>
        <v>0</v>
      </c>
      <c r="G37" s="246"/>
      <c r="M37" s="48" t="s">
        <v>102</v>
      </c>
      <c r="N37">
        <v>4024</v>
      </c>
    </row>
    <row r="38" spans="2:14" x14ac:dyDescent="0.25">
      <c r="B38" s="11" t="s">
        <v>103</v>
      </c>
      <c r="C38" s="12"/>
      <c r="D38" s="11"/>
      <c r="E38" s="13">
        <f>VLOOKUP($B$4,'All Schools'!$B$6:$BV$98,55,0)</f>
        <v>0</v>
      </c>
      <c r="G38" s="246"/>
      <c r="M38" t="s">
        <v>104</v>
      </c>
      <c r="N38">
        <v>2029</v>
      </c>
    </row>
    <row r="39" spans="2:14" x14ac:dyDescent="0.25">
      <c r="B39" s="55" t="s">
        <v>105</v>
      </c>
      <c r="C39" s="15"/>
      <c r="D39" s="14"/>
      <c r="E39" s="237">
        <f>VLOOKUP($B$4,'All Schools'!$B$6:$BV$98,56,0)</f>
        <v>0</v>
      </c>
      <c r="G39" s="246"/>
      <c r="M39" s="48" t="s">
        <v>106</v>
      </c>
      <c r="N39">
        <v>2061</v>
      </c>
    </row>
    <row r="40" spans="2:14" ht="13" x14ac:dyDescent="0.3">
      <c r="B40" s="18" t="s">
        <v>107</v>
      </c>
      <c r="C40" s="18"/>
      <c r="D40" s="18"/>
      <c r="E40" s="264">
        <f>SUM(E34:E39)</f>
        <v>180044</v>
      </c>
      <c r="G40" s="246"/>
      <c r="M40" t="s">
        <v>108</v>
      </c>
      <c r="N40">
        <v>5407</v>
      </c>
    </row>
    <row r="41" spans="2:14" x14ac:dyDescent="0.25">
      <c r="E41" s="265"/>
      <c r="G41" s="247"/>
      <c r="M41" s="48" t="s">
        <v>109</v>
      </c>
      <c r="N41">
        <v>2021</v>
      </c>
    </row>
    <row r="42" spans="2:14" ht="13" x14ac:dyDescent="0.3">
      <c r="B42" s="18" t="s">
        <v>110</v>
      </c>
      <c r="C42" s="18"/>
      <c r="D42" s="18"/>
      <c r="E42" s="264">
        <f>E10+E32+E40</f>
        <v>5778811.8926893296</v>
      </c>
      <c r="G42" s="246"/>
      <c r="M42" t="s">
        <v>111</v>
      </c>
      <c r="N42">
        <v>2063</v>
      </c>
    </row>
    <row r="43" spans="2:14" x14ac:dyDescent="0.25">
      <c r="E43" s="1"/>
      <c r="G43" s="247"/>
      <c r="M43" t="s">
        <v>112</v>
      </c>
      <c r="N43">
        <v>2081</v>
      </c>
    </row>
    <row r="44" spans="2:14" x14ac:dyDescent="0.25">
      <c r="B44" s="8" t="s">
        <v>113</v>
      </c>
      <c r="C44" s="8"/>
      <c r="D44" s="8"/>
      <c r="E44" s="10">
        <f>VLOOKUP($B$4,'All Schools'!$B$6:$BV$98,62,0)</f>
        <v>5598767.8899999997</v>
      </c>
      <c r="G44" s="246">
        <v>8</v>
      </c>
      <c r="I44" s="2"/>
      <c r="M44" t="s">
        <v>114</v>
      </c>
      <c r="N44">
        <v>5204</v>
      </c>
    </row>
    <row r="45" spans="2:14" x14ac:dyDescent="0.25">
      <c r="B45" s="53" t="s">
        <v>115</v>
      </c>
      <c r="C45" s="11"/>
      <c r="D45" s="11"/>
      <c r="E45" s="10">
        <f>VLOOKUP($B$4,'All Schools'!$B$6:$BV$98,63,0)</f>
        <v>6046.1856299999999</v>
      </c>
      <c r="G45" s="246">
        <v>8</v>
      </c>
      <c r="M45" t="s">
        <v>116</v>
      </c>
      <c r="N45">
        <v>5205</v>
      </c>
    </row>
    <row r="46" spans="2:14" x14ac:dyDescent="0.25">
      <c r="B46" s="53" t="s">
        <v>117</v>
      </c>
      <c r="C46" s="11"/>
      <c r="D46" s="11"/>
      <c r="E46" s="99">
        <f>VLOOKUP($B$4,'All Schools'!$B$6:$BV$98,64,0)</f>
        <v>5875.6699699999999</v>
      </c>
      <c r="G46" s="246">
        <v>8</v>
      </c>
      <c r="M46" t="s">
        <v>118</v>
      </c>
      <c r="N46">
        <v>3302</v>
      </c>
    </row>
    <row r="47" spans="2:14" x14ac:dyDescent="0.25">
      <c r="B47" s="11" t="s">
        <v>119</v>
      </c>
      <c r="C47" s="11"/>
      <c r="D47" s="11"/>
      <c r="E47" s="20">
        <f>VLOOKUP($B$4,'All Schools'!$B$6:$BV$98,65,0)</f>
        <v>2.9020633095527212E-2</v>
      </c>
      <c r="G47" s="246">
        <v>9</v>
      </c>
      <c r="M47" t="s">
        <v>120</v>
      </c>
      <c r="N47">
        <v>2027</v>
      </c>
    </row>
    <row r="48" spans="2:14" x14ac:dyDescent="0.25">
      <c r="B48" s="11" t="s">
        <v>121</v>
      </c>
      <c r="C48" s="13"/>
      <c r="D48" s="11"/>
      <c r="E48" s="20">
        <f>VLOOKUP($B$4,'All Schools'!$B$6:$BV$98,66,0)</f>
        <v>0</v>
      </c>
      <c r="G48" s="248">
        <v>9</v>
      </c>
      <c r="M48" s="48" t="s">
        <v>122</v>
      </c>
      <c r="N48">
        <v>2033</v>
      </c>
    </row>
    <row r="49" spans="1:14" x14ac:dyDescent="0.25">
      <c r="B49" s="11" t="s">
        <v>123</v>
      </c>
      <c r="C49" s="13"/>
      <c r="D49" s="11"/>
      <c r="E49" s="10">
        <f>VLOOKUP($B$4,'All Schools'!$B$6:$BV$98,67,0)</f>
        <v>0</v>
      </c>
      <c r="G49" s="246">
        <v>9</v>
      </c>
      <c r="I49" s="2"/>
      <c r="M49" t="s">
        <v>124</v>
      </c>
      <c r="N49">
        <v>2032</v>
      </c>
    </row>
    <row r="50" spans="1:14" ht="13" x14ac:dyDescent="0.3">
      <c r="B50" s="18" t="s">
        <v>125</v>
      </c>
      <c r="C50" s="19"/>
      <c r="D50" s="18"/>
      <c r="E50" s="264">
        <f>E42+E49</f>
        <v>5778811.8926893296</v>
      </c>
      <c r="G50" s="246"/>
      <c r="I50" s="2"/>
      <c r="M50" t="s">
        <v>126</v>
      </c>
      <c r="N50">
        <v>2028</v>
      </c>
    </row>
    <row r="51" spans="1:14" x14ac:dyDescent="0.25">
      <c r="C51" s="1"/>
      <c r="E51" s="1"/>
      <c r="G51" s="247"/>
      <c r="M51" t="s">
        <v>127</v>
      </c>
      <c r="N51">
        <v>2017</v>
      </c>
    </row>
    <row r="52" spans="1:14" x14ac:dyDescent="0.25">
      <c r="B52" s="98" t="s">
        <v>128</v>
      </c>
      <c r="C52" s="252">
        <v>-2.19</v>
      </c>
      <c r="D52" s="250">
        <f>E52/C52</f>
        <v>0</v>
      </c>
      <c r="E52" s="251">
        <f>VLOOKUP(B4,'All Schools'!$B$6:$BT$98,69,0)</f>
        <v>0</v>
      </c>
      <c r="G52" s="246">
        <v>10</v>
      </c>
      <c r="M52" t="s">
        <v>129</v>
      </c>
      <c r="N52">
        <v>2037</v>
      </c>
    </row>
    <row r="53" spans="1:14" x14ac:dyDescent="0.25">
      <c r="B53" s="84" t="s">
        <v>130</v>
      </c>
      <c r="C53" s="253">
        <v>-1.27</v>
      </c>
      <c r="D53" s="250">
        <f>E53/C53</f>
        <v>0</v>
      </c>
      <c r="E53" s="251">
        <f>VLOOKUP(B4,'All Schools'!$B$6:$BT$98,70,0)</f>
        <v>0</v>
      </c>
      <c r="G53" s="246">
        <v>11</v>
      </c>
      <c r="J53" s="2"/>
      <c r="M53" t="s">
        <v>131</v>
      </c>
      <c r="N53">
        <v>2036</v>
      </c>
    </row>
    <row r="54" spans="1:14" ht="13" thickBot="1" x14ac:dyDescent="0.3">
      <c r="E54" s="1"/>
      <c r="G54" s="247"/>
      <c r="M54" s="48" t="s">
        <v>132</v>
      </c>
      <c r="N54">
        <v>2022</v>
      </c>
    </row>
    <row r="55" spans="1:14" ht="13.5" thickBot="1" x14ac:dyDescent="0.35">
      <c r="A55" s="23" t="s">
        <v>133</v>
      </c>
      <c r="B55" s="23" t="s">
        <v>134</v>
      </c>
      <c r="C55" s="24"/>
      <c r="D55" s="24"/>
      <c r="E55" s="263">
        <f>ROUND(E50+E52+E53,0)</f>
        <v>5778812</v>
      </c>
      <c r="G55" s="246"/>
      <c r="I55" s="2"/>
      <c r="M55" s="48" t="s">
        <v>135</v>
      </c>
      <c r="N55">
        <v>2039</v>
      </c>
    </row>
    <row r="56" spans="1:14" x14ac:dyDescent="0.25">
      <c r="E56" s="1"/>
      <c r="G56" s="247"/>
      <c r="M56" t="s">
        <v>136</v>
      </c>
      <c r="N56">
        <v>2038</v>
      </c>
    </row>
    <row r="57" spans="1:14" ht="13" x14ac:dyDescent="0.3">
      <c r="A57" s="46"/>
      <c r="B57" s="46" t="s">
        <v>137</v>
      </c>
      <c r="E57" s="1"/>
      <c r="G57" s="247"/>
      <c r="M57" t="s">
        <v>138</v>
      </c>
      <c r="N57">
        <v>5405</v>
      </c>
    </row>
    <row r="58" spans="1:14" x14ac:dyDescent="0.25">
      <c r="E58" s="1"/>
      <c r="G58" s="247"/>
      <c r="M58" t="s">
        <v>139</v>
      </c>
      <c r="N58">
        <v>5200</v>
      </c>
    </row>
    <row r="59" spans="1:14" x14ac:dyDescent="0.25">
      <c r="A59" s="83" t="s">
        <v>133</v>
      </c>
      <c r="B59" s="83" t="s">
        <v>140</v>
      </c>
      <c r="C59" s="83"/>
      <c r="D59" s="51"/>
      <c r="E59" s="274">
        <f>VLOOKUP(B4,'All Schools'!$B$6:$BZ$976,73,0)</f>
        <v>0</v>
      </c>
      <c r="G59" s="249">
        <v>12</v>
      </c>
      <c r="M59" s="48" t="s">
        <v>141</v>
      </c>
      <c r="N59">
        <v>5201</v>
      </c>
    </row>
    <row r="60" spans="1:14" x14ac:dyDescent="0.25">
      <c r="A60" s="53" t="s">
        <v>133</v>
      </c>
      <c r="B60" s="53" t="s">
        <v>142</v>
      </c>
      <c r="C60" s="110"/>
      <c r="D60" s="47"/>
      <c r="E60" s="106">
        <f>VLOOKUP(B4,'All Schools'!$B$6:$BZ$98,74,0)</f>
        <v>0</v>
      </c>
      <c r="G60" s="249">
        <v>12</v>
      </c>
      <c r="M60" t="s">
        <v>143</v>
      </c>
      <c r="N60">
        <v>5409</v>
      </c>
    </row>
    <row r="61" spans="1:14" x14ac:dyDescent="0.25">
      <c r="A61" s="53" t="s">
        <v>133</v>
      </c>
      <c r="B61" s="53" t="s">
        <v>144</v>
      </c>
      <c r="C61" s="52"/>
      <c r="D61" s="47"/>
      <c r="E61" s="275">
        <f>VLOOKUP(B4,'All Schools'!$B$6:$BZ$98,75,0)</f>
        <v>0</v>
      </c>
      <c r="G61" s="249">
        <v>13</v>
      </c>
      <c r="M61" t="s">
        <v>145</v>
      </c>
      <c r="N61">
        <v>4021</v>
      </c>
    </row>
    <row r="62" spans="1:14" x14ac:dyDescent="0.25">
      <c r="A62" s="53" t="s">
        <v>133</v>
      </c>
      <c r="B62" s="53" t="s">
        <v>146</v>
      </c>
      <c r="C62" s="52"/>
      <c r="D62" s="47"/>
      <c r="E62" s="371">
        <f>VLOOKUP(B4,'All Schools'!$B$6:$BZ$98,76,0)</f>
        <v>0</v>
      </c>
      <c r="G62" s="249">
        <v>13</v>
      </c>
      <c r="M62" t="s">
        <v>147</v>
      </c>
      <c r="N62">
        <v>4000</v>
      </c>
    </row>
    <row r="63" spans="1:14" x14ac:dyDescent="0.25">
      <c r="A63" s="55" t="s">
        <v>148</v>
      </c>
      <c r="B63" s="55" t="s">
        <v>149</v>
      </c>
      <c r="C63" s="326"/>
      <c r="D63" s="79"/>
      <c r="E63" s="106">
        <f>VLOOKUP(B4,'All Schools'!$B$6:$BZ$98,77,0)</f>
        <v>251878</v>
      </c>
      <c r="G63" s="249">
        <v>14</v>
      </c>
      <c r="M63" t="s">
        <v>150</v>
      </c>
      <c r="N63">
        <v>2040</v>
      </c>
    </row>
    <row r="64" spans="1:14" x14ac:dyDescent="0.25">
      <c r="M64" t="s">
        <v>151</v>
      </c>
      <c r="N64">
        <v>5403</v>
      </c>
    </row>
    <row r="65" spans="1:14" ht="13" x14ac:dyDescent="0.3">
      <c r="A65" s="46"/>
      <c r="B65" s="46" t="s">
        <v>20</v>
      </c>
      <c r="M65" t="s">
        <v>152</v>
      </c>
      <c r="N65">
        <v>2064</v>
      </c>
    </row>
    <row r="66" spans="1:14" x14ac:dyDescent="0.25">
      <c r="M66" t="s">
        <v>153</v>
      </c>
      <c r="N66">
        <v>5406</v>
      </c>
    </row>
    <row r="67" spans="1:14" x14ac:dyDescent="0.25">
      <c r="A67" s="100" t="s">
        <v>154</v>
      </c>
      <c r="B67" s="100" t="s">
        <v>155</v>
      </c>
      <c r="C67" s="83" t="s">
        <v>156</v>
      </c>
      <c r="D67" s="8"/>
      <c r="E67" s="274">
        <f>VLOOKUP(B4,'All Schools'!$B$6:$CK$98,79,0)</f>
        <v>0</v>
      </c>
      <c r="G67" s="249">
        <v>15</v>
      </c>
      <c r="M67" t="s">
        <v>157</v>
      </c>
      <c r="N67">
        <v>2045</v>
      </c>
    </row>
    <row r="68" spans="1:14" x14ac:dyDescent="0.25">
      <c r="A68" s="89" t="s">
        <v>154</v>
      </c>
      <c r="B68" s="89" t="s">
        <v>158</v>
      </c>
      <c r="C68" s="53" t="s">
        <v>156</v>
      </c>
      <c r="D68" s="11"/>
      <c r="E68" s="106">
        <f>VLOOKUP($B$4,'All Schools'!$B$6:$CK$98,80,0)</f>
        <v>0</v>
      </c>
      <c r="G68" s="249">
        <v>16</v>
      </c>
      <c r="M68" t="s">
        <v>159</v>
      </c>
      <c r="N68">
        <v>2080</v>
      </c>
    </row>
    <row r="69" spans="1:14" x14ac:dyDescent="0.25">
      <c r="A69" s="89" t="s">
        <v>154</v>
      </c>
      <c r="B69" s="89" t="s">
        <v>160</v>
      </c>
      <c r="C69" s="53" t="s">
        <v>156</v>
      </c>
      <c r="D69" s="11"/>
      <c r="E69" s="275">
        <f>VLOOKUP($B$4,'All Schools'!$B$6:$CK$98,81,0)</f>
        <v>0</v>
      </c>
      <c r="G69" s="249">
        <v>17</v>
      </c>
      <c r="M69" t="s">
        <v>161</v>
      </c>
      <c r="N69">
        <v>4023</v>
      </c>
    </row>
    <row r="70" spans="1:14" x14ac:dyDescent="0.25">
      <c r="A70" s="89" t="s">
        <v>133</v>
      </c>
      <c r="B70" s="89" t="s">
        <v>162</v>
      </c>
      <c r="C70" s="110" t="s">
        <v>163</v>
      </c>
      <c r="D70" s="47"/>
      <c r="E70" s="274">
        <f>VLOOKUP($B$4,'All Schools'!$B$6:$CK$98,82,0)</f>
        <v>0</v>
      </c>
      <c r="G70" s="249">
        <v>18</v>
      </c>
      <c r="M70" t="s">
        <v>164</v>
      </c>
      <c r="N70">
        <v>2048</v>
      </c>
    </row>
    <row r="71" spans="1:14" x14ac:dyDescent="0.25">
      <c r="A71" s="89" t="s">
        <v>133</v>
      </c>
      <c r="B71" s="89" t="s">
        <v>165</v>
      </c>
      <c r="C71" s="110" t="s">
        <v>163</v>
      </c>
      <c r="D71" s="47"/>
      <c r="E71" s="274">
        <f>VLOOKUP($B$4,'All Schools'!$B$6:$CK$98,83,0)</f>
        <v>0</v>
      </c>
      <c r="G71" s="249">
        <v>18</v>
      </c>
    </row>
    <row r="72" spans="1:14" x14ac:dyDescent="0.25">
      <c r="A72" s="89" t="s">
        <v>166</v>
      </c>
      <c r="B72" s="89" t="s">
        <v>167</v>
      </c>
      <c r="C72" s="53" t="s">
        <v>156</v>
      </c>
      <c r="D72" s="11"/>
      <c r="E72" s="274">
        <f>VLOOKUP($B$4,'All Schools'!$B$6:$CK$98,84,0)</f>
        <v>0</v>
      </c>
      <c r="G72" s="249">
        <v>19</v>
      </c>
      <c r="M72" t="s">
        <v>168</v>
      </c>
      <c r="N72">
        <v>3405</v>
      </c>
    </row>
    <row r="73" spans="1:14" x14ac:dyDescent="0.25">
      <c r="A73" s="89" t="s">
        <v>166</v>
      </c>
      <c r="B73" s="89" t="s">
        <v>169</v>
      </c>
      <c r="C73" s="53" t="s">
        <v>156</v>
      </c>
      <c r="D73" s="11"/>
      <c r="E73" s="274">
        <f>VLOOKUP($B$4,'All Schools'!$B$6:$CK$98,85,0)</f>
        <v>0</v>
      </c>
      <c r="G73" s="249">
        <v>20</v>
      </c>
    </row>
    <row r="74" spans="1:14" x14ac:dyDescent="0.25">
      <c r="A74" s="89" t="s">
        <v>170</v>
      </c>
      <c r="B74" s="89" t="s">
        <v>171</v>
      </c>
      <c r="C74" s="11"/>
      <c r="D74" s="47"/>
      <c r="E74" s="274">
        <f>VLOOKUP($B$4,'All Schools'!$B$6:$CK$98,87,0)</f>
        <v>0</v>
      </c>
      <c r="G74" s="249">
        <v>21</v>
      </c>
      <c r="M74" t="s">
        <v>172</v>
      </c>
      <c r="N74">
        <v>5208</v>
      </c>
    </row>
    <row r="75" spans="1:14" x14ac:dyDescent="0.25">
      <c r="A75" s="101" t="s">
        <v>170</v>
      </c>
      <c r="B75" s="101" t="s">
        <v>173</v>
      </c>
      <c r="C75" s="14"/>
      <c r="D75" s="79"/>
      <c r="E75" s="106">
        <f>VLOOKUP($B$4,'All Schools'!$B$6:$CK$98,88,0)</f>
        <v>0</v>
      </c>
      <c r="G75" s="249">
        <v>22</v>
      </c>
      <c r="M75" t="s">
        <v>174</v>
      </c>
      <c r="N75">
        <v>3402</v>
      </c>
    </row>
    <row r="76" spans="1:14" x14ac:dyDescent="0.25">
      <c r="M76" s="48" t="s">
        <v>175</v>
      </c>
      <c r="N76">
        <v>2035</v>
      </c>
    </row>
    <row r="77" spans="1:14" x14ac:dyDescent="0.25">
      <c r="A77" s="98" t="s">
        <v>176</v>
      </c>
      <c r="B77" s="98" t="s">
        <v>177</v>
      </c>
      <c r="C77" s="98" t="s">
        <v>163</v>
      </c>
      <c r="D77" s="84"/>
      <c r="E77" s="106">
        <f>VLOOKUP($B$4,'All Schools'!$B$6:$CK$98,86,0)</f>
        <v>0</v>
      </c>
      <c r="G77" s="249">
        <v>23</v>
      </c>
      <c r="M77" t="s">
        <v>178</v>
      </c>
      <c r="N77">
        <v>3404</v>
      </c>
    </row>
    <row r="78" spans="1:14" x14ac:dyDescent="0.25">
      <c r="M78" s="48" t="s">
        <v>179</v>
      </c>
      <c r="N78">
        <v>3306</v>
      </c>
    </row>
    <row r="79" spans="1:14" ht="13" x14ac:dyDescent="0.3">
      <c r="A79" s="48" t="s">
        <v>180</v>
      </c>
      <c r="M79" s="48" t="s">
        <v>181</v>
      </c>
      <c r="N79">
        <v>3400</v>
      </c>
    </row>
    <row r="80" spans="1:14" x14ac:dyDescent="0.25">
      <c r="M80" t="s">
        <v>182</v>
      </c>
      <c r="N80">
        <v>3403</v>
      </c>
    </row>
    <row r="81" spans="13:14" x14ac:dyDescent="0.25">
      <c r="M81" t="s">
        <v>183</v>
      </c>
      <c r="N81">
        <v>5410</v>
      </c>
    </row>
    <row r="82" spans="13:14" x14ac:dyDescent="0.25">
      <c r="M82" t="s">
        <v>184</v>
      </c>
      <c r="N82">
        <v>2004</v>
      </c>
    </row>
    <row r="83" spans="13:14" x14ac:dyDescent="0.25">
      <c r="M83" t="s">
        <v>185</v>
      </c>
      <c r="N83">
        <v>5408</v>
      </c>
    </row>
    <row r="84" spans="13:14" x14ac:dyDescent="0.25">
      <c r="M84" s="48" t="s">
        <v>186</v>
      </c>
      <c r="N84">
        <v>4014</v>
      </c>
    </row>
    <row r="85" spans="13:14" x14ac:dyDescent="0.25">
      <c r="M85" t="s">
        <v>187</v>
      </c>
      <c r="N85">
        <v>6906</v>
      </c>
    </row>
    <row r="86" spans="13:14" x14ac:dyDescent="0.25">
      <c r="M86" t="s">
        <v>188</v>
      </c>
      <c r="N86">
        <v>5404</v>
      </c>
    </row>
    <row r="87" spans="13:14" x14ac:dyDescent="0.25">
      <c r="M87" t="s">
        <v>189</v>
      </c>
      <c r="N87">
        <v>5402</v>
      </c>
    </row>
    <row r="88" spans="13:14" x14ac:dyDescent="0.25">
      <c r="M88" s="48" t="s">
        <v>190</v>
      </c>
      <c r="N88">
        <v>2065</v>
      </c>
    </row>
    <row r="89" spans="13:14" x14ac:dyDescent="0.25">
      <c r="M89" t="s">
        <v>191</v>
      </c>
      <c r="N89">
        <v>2051</v>
      </c>
    </row>
    <row r="90" spans="13:14" x14ac:dyDescent="0.25">
      <c r="M90" s="48" t="s">
        <v>192</v>
      </c>
      <c r="N90">
        <v>2069</v>
      </c>
    </row>
    <row r="91" spans="13:14" x14ac:dyDescent="0.25">
      <c r="M91" t="s">
        <v>193</v>
      </c>
      <c r="N91">
        <v>2052</v>
      </c>
    </row>
    <row r="92" spans="13:14" x14ac:dyDescent="0.25">
      <c r="M92" s="48" t="s">
        <v>194</v>
      </c>
      <c r="N92">
        <v>2074</v>
      </c>
    </row>
    <row r="93" spans="13:14" x14ac:dyDescent="0.25">
      <c r="M93" t="s">
        <v>195</v>
      </c>
      <c r="N93">
        <v>2054</v>
      </c>
    </row>
    <row r="94" spans="13:14" x14ac:dyDescent="0.25">
      <c r="M94" s="48" t="s">
        <v>196</v>
      </c>
      <c r="N94">
        <v>2049</v>
      </c>
    </row>
    <row r="95" spans="13:14" x14ac:dyDescent="0.25">
      <c r="M95" s="48" t="s">
        <v>197</v>
      </c>
      <c r="N95">
        <v>2082</v>
      </c>
    </row>
    <row r="96" spans="13:14" x14ac:dyDescent="0.25">
      <c r="M96" t="s">
        <v>198</v>
      </c>
      <c r="N96">
        <v>2060</v>
      </c>
    </row>
    <row r="97" spans="13:14" x14ac:dyDescent="0.25">
      <c r="M97" t="s">
        <v>199</v>
      </c>
      <c r="N97">
        <v>2059</v>
      </c>
    </row>
    <row r="98" spans="13:14" x14ac:dyDescent="0.25">
      <c r="M98" t="s">
        <v>200</v>
      </c>
      <c r="N98" s="48" t="s">
        <v>201</v>
      </c>
    </row>
  </sheetData>
  <sortState xmlns:xlrd2="http://schemas.microsoft.com/office/spreadsheetml/2017/richdata2" ref="P4:P96">
    <sortCondition ref="P4:P96"/>
  </sortState>
  <phoneticPr fontId="2" type="noConversion"/>
  <conditionalFormatting sqref="N5:N51 N53:N97">
    <cfRule type="duplicateValues" dxfId="8" priority="10"/>
  </conditionalFormatting>
  <conditionalFormatting sqref="N52">
    <cfRule type="duplicateValues" dxfId="7" priority="1"/>
  </conditionalFormatting>
  <dataValidations count="1">
    <dataValidation type="list" allowBlank="1" showInputMessage="1" showErrorMessage="1" promptTitle="Please select school" sqref="B3" xr:uid="{00000000-0002-0000-0100-000000000000}">
      <formula1>$M$4:$M$102</formula1>
    </dataValidation>
  </dataValidations>
  <pageMargins left="0.35433070866141736" right="0.35433070866141736" top="0.39370078740157483" bottom="0.39370078740157483"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47"/>
    <pageSetUpPr fitToPage="1"/>
  </sheetPr>
  <dimension ref="A1:CL180"/>
  <sheetViews>
    <sheetView zoomScale="70" zoomScaleNormal="70" workbookViewId="0">
      <pane xSplit="3" ySplit="4" topLeftCell="D5" activePane="bottomRight" state="frozen"/>
      <selection pane="topRight" activeCell="D1" sqref="D1"/>
      <selection pane="bottomLeft" activeCell="A5" sqref="A5"/>
      <selection pane="bottomRight" activeCell="L14" sqref="L14"/>
    </sheetView>
  </sheetViews>
  <sheetFormatPr defaultRowHeight="13" x14ac:dyDescent="0.25"/>
  <cols>
    <col min="1" max="1" width="9.7265625" style="48" hidden="1" customWidth="1"/>
    <col min="2" max="2" width="10.54296875" style="132" customWidth="1"/>
    <col min="3" max="3" width="39.453125" style="48" customWidth="1"/>
    <col min="4" max="28" width="14.453125" style="127" customWidth="1"/>
    <col min="29" max="29" width="14.453125" style="225" customWidth="1"/>
    <col min="30" max="57" width="14.453125" style="124" customWidth="1"/>
    <col min="58" max="63" width="15.81640625" style="124" customWidth="1"/>
    <col min="64" max="65" width="14.453125" style="123" customWidth="1"/>
    <col min="66" max="66" width="14.453125" style="125" customWidth="1"/>
    <col min="67" max="68" width="14.453125" style="123" customWidth="1"/>
    <col min="69" max="69" width="16.7265625" style="278" customWidth="1"/>
    <col min="70" max="71" width="14.453125" style="123" customWidth="1"/>
    <col min="72" max="72" width="19.453125" style="128" customWidth="1"/>
    <col min="73" max="73" width="3.1796875" style="128" customWidth="1"/>
    <col min="74" max="75" width="16.7265625" customWidth="1"/>
    <col min="76" max="77" width="14.453125" customWidth="1"/>
    <col min="78" max="78" width="16" customWidth="1"/>
    <col min="79" max="79" width="2.54296875" customWidth="1"/>
    <col min="80" max="89" width="16.26953125" customWidth="1"/>
    <col min="90" max="90" width="11.26953125" bestFit="1" customWidth="1"/>
  </cols>
  <sheetData>
    <row r="1" spans="1:90" s="5" customFormat="1" ht="18.5" thickBot="1" x14ac:dyDescent="0.45">
      <c r="A1" s="130"/>
      <c r="B1" s="42" t="s">
        <v>202</v>
      </c>
      <c r="C1" s="130"/>
      <c r="D1" s="131">
        <v>3</v>
      </c>
      <c r="E1" s="131">
        <v>4</v>
      </c>
      <c r="F1" s="131">
        <v>5</v>
      </c>
      <c r="G1" s="131">
        <v>6</v>
      </c>
      <c r="H1" s="131">
        <v>7</v>
      </c>
      <c r="I1" s="131">
        <v>8</v>
      </c>
      <c r="J1" s="131">
        <v>9</v>
      </c>
      <c r="K1" s="131">
        <v>10</v>
      </c>
      <c r="L1" s="131">
        <v>11</v>
      </c>
      <c r="M1" s="131">
        <v>12</v>
      </c>
      <c r="N1" s="131">
        <v>13</v>
      </c>
      <c r="O1" s="131">
        <v>14</v>
      </c>
      <c r="P1" s="131">
        <v>15</v>
      </c>
      <c r="Q1" s="131">
        <v>16</v>
      </c>
      <c r="R1" s="131">
        <v>17</v>
      </c>
      <c r="S1" s="131">
        <v>18</v>
      </c>
      <c r="T1" s="131">
        <v>19</v>
      </c>
      <c r="U1" s="131">
        <v>20</v>
      </c>
      <c r="V1" s="131">
        <v>21</v>
      </c>
      <c r="W1" s="131">
        <v>22</v>
      </c>
      <c r="X1" s="131">
        <v>23</v>
      </c>
      <c r="Y1" s="131">
        <v>24</v>
      </c>
      <c r="Z1" s="131">
        <v>25</v>
      </c>
      <c r="AA1" s="131">
        <v>26</v>
      </c>
      <c r="AB1" s="131">
        <v>27</v>
      </c>
      <c r="AC1" s="223">
        <v>28</v>
      </c>
      <c r="AD1" s="131">
        <v>29</v>
      </c>
      <c r="AE1" s="131">
        <v>30</v>
      </c>
      <c r="AF1" s="131">
        <v>31</v>
      </c>
      <c r="AG1" s="131">
        <v>32</v>
      </c>
      <c r="AH1" s="131">
        <v>33</v>
      </c>
      <c r="AI1" s="131">
        <v>34</v>
      </c>
      <c r="AJ1" s="131">
        <v>35</v>
      </c>
      <c r="AK1" s="131">
        <v>36</v>
      </c>
      <c r="AL1" s="131">
        <v>37</v>
      </c>
      <c r="AM1" s="131">
        <v>38</v>
      </c>
      <c r="AN1" s="131">
        <v>39</v>
      </c>
      <c r="AO1" s="131">
        <v>40</v>
      </c>
      <c r="AP1" s="131">
        <v>41</v>
      </c>
      <c r="AQ1" s="131">
        <v>42</v>
      </c>
      <c r="AR1" s="131">
        <v>43</v>
      </c>
      <c r="AS1" s="131">
        <v>44</v>
      </c>
      <c r="AT1" s="131">
        <v>45</v>
      </c>
      <c r="AU1" s="131">
        <v>46</v>
      </c>
      <c r="AV1" s="131">
        <v>47</v>
      </c>
      <c r="AW1" s="131">
        <v>48</v>
      </c>
      <c r="AX1" s="131">
        <v>49</v>
      </c>
      <c r="AY1" s="131">
        <v>50</v>
      </c>
      <c r="AZ1" s="131">
        <v>51</v>
      </c>
      <c r="BA1" s="131">
        <v>52</v>
      </c>
      <c r="BB1" s="131">
        <v>53</v>
      </c>
      <c r="BC1" s="131">
        <v>54</v>
      </c>
      <c r="BD1" s="131">
        <v>55</v>
      </c>
      <c r="BE1" s="131">
        <v>56</v>
      </c>
      <c r="BF1" s="131">
        <v>57</v>
      </c>
      <c r="BG1" s="131">
        <v>58</v>
      </c>
      <c r="BH1" s="131">
        <v>59</v>
      </c>
      <c r="BI1" s="131">
        <v>60</v>
      </c>
      <c r="BJ1" s="131">
        <v>61</v>
      </c>
      <c r="BK1" s="131">
        <f>BJ1+1</f>
        <v>62</v>
      </c>
      <c r="BL1" s="131">
        <f t="shared" ref="BL1:BS1" si="0">BK1+1</f>
        <v>63</v>
      </c>
      <c r="BM1" s="131">
        <f t="shared" si="0"/>
        <v>64</v>
      </c>
      <c r="BN1" s="131">
        <f t="shared" si="0"/>
        <v>65</v>
      </c>
      <c r="BO1" s="131">
        <f t="shared" si="0"/>
        <v>66</v>
      </c>
      <c r="BP1" s="131">
        <f t="shared" si="0"/>
        <v>67</v>
      </c>
      <c r="BQ1" s="278">
        <f t="shared" si="0"/>
        <v>68</v>
      </c>
      <c r="BR1" s="131">
        <f t="shared" si="0"/>
        <v>69</v>
      </c>
      <c r="BS1" s="131">
        <f t="shared" si="0"/>
        <v>70</v>
      </c>
      <c r="BT1" s="131">
        <v>71</v>
      </c>
      <c r="BU1" s="131"/>
      <c r="BV1" s="131">
        <v>73</v>
      </c>
      <c r="BW1" s="131">
        <f>BV1+1</f>
        <v>74</v>
      </c>
      <c r="BX1" s="131">
        <f t="shared" ref="BX1:CD1" si="1">BW1+1</f>
        <v>75</v>
      </c>
      <c r="BY1" s="131">
        <f t="shared" si="1"/>
        <v>76</v>
      </c>
      <c r="BZ1" s="131">
        <f t="shared" si="1"/>
        <v>77</v>
      </c>
      <c r="CA1" s="131">
        <f t="shared" si="1"/>
        <v>78</v>
      </c>
      <c r="CB1" s="131">
        <f t="shared" si="1"/>
        <v>79</v>
      </c>
      <c r="CC1" s="131">
        <f t="shared" si="1"/>
        <v>80</v>
      </c>
      <c r="CD1" s="131">
        <f t="shared" si="1"/>
        <v>81</v>
      </c>
      <c r="CE1" s="131">
        <f t="shared" ref="CE1" si="2">CD1+1</f>
        <v>82</v>
      </c>
      <c r="CF1" s="131">
        <f t="shared" ref="CF1" si="3">CE1+1</f>
        <v>83</v>
      </c>
      <c r="CG1" s="131">
        <v>84</v>
      </c>
      <c r="CH1" s="131">
        <f t="shared" ref="CH1" si="4">CG1+1</f>
        <v>85</v>
      </c>
      <c r="CI1" s="131">
        <f t="shared" ref="CI1" si="5">CH1+1</f>
        <v>86</v>
      </c>
      <c r="CJ1" s="131">
        <f t="shared" ref="CJ1" si="6">CI1+1</f>
        <v>87</v>
      </c>
      <c r="CK1" s="131">
        <f t="shared" ref="CK1" si="7">CJ1+1</f>
        <v>88</v>
      </c>
    </row>
    <row r="2" spans="1:90" hidden="1" thickBot="1" x14ac:dyDescent="0.3">
      <c r="C2" s="132"/>
      <c r="D2" s="133">
        <v>3</v>
      </c>
      <c r="E2" s="133">
        <v>4</v>
      </c>
      <c r="F2" s="133">
        <v>5</v>
      </c>
      <c r="G2" s="133">
        <v>6</v>
      </c>
      <c r="H2" s="133">
        <v>7</v>
      </c>
      <c r="I2" s="133">
        <v>8</v>
      </c>
      <c r="J2" s="133">
        <v>9</v>
      </c>
      <c r="K2" s="133">
        <v>10</v>
      </c>
      <c r="L2" s="133">
        <v>11</v>
      </c>
      <c r="M2" s="133">
        <v>12</v>
      </c>
      <c r="N2" s="133">
        <v>13</v>
      </c>
      <c r="O2" s="133">
        <v>14</v>
      </c>
      <c r="P2" s="133">
        <v>15</v>
      </c>
      <c r="Q2" s="133">
        <v>16</v>
      </c>
      <c r="R2" s="133">
        <v>17</v>
      </c>
      <c r="S2" s="133">
        <v>18</v>
      </c>
      <c r="T2" s="133">
        <v>19</v>
      </c>
      <c r="U2" s="133">
        <v>20</v>
      </c>
      <c r="V2" s="133">
        <v>21</v>
      </c>
      <c r="W2" s="133">
        <v>22</v>
      </c>
      <c r="X2" s="133">
        <v>23</v>
      </c>
      <c r="Y2" s="133">
        <v>24</v>
      </c>
      <c r="Z2" s="133">
        <v>25</v>
      </c>
      <c r="AA2" s="133">
        <v>26</v>
      </c>
      <c r="AB2" s="133">
        <v>27</v>
      </c>
      <c r="AC2" s="224">
        <v>28</v>
      </c>
      <c r="AD2" s="111">
        <v>29</v>
      </c>
      <c r="AE2" s="111">
        <v>30</v>
      </c>
      <c r="AF2" s="111">
        <v>31</v>
      </c>
      <c r="AG2" s="111">
        <v>32</v>
      </c>
      <c r="AH2" s="111">
        <v>33</v>
      </c>
      <c r="AI2" s="111">
        <v>34</v>
      </c>
      <c r="AJ2" s="111">
        <v>35</v>
      </c>
      <c r="AK2" s="111">
        <v>36</v>
      </c>
      <c r="AL2" s="111">
        <v>37</v>
      </c>
      <c r="AM2" s="111">
        <v>38</v>
      </c>
      <c r="AN2" s="111">
        <v>39</v>
      </c>
      <c r="AO2" s="111">
        <v>40</v>
      </c>
      <c r="AP2" s="111">
        <v>41</v>
      </c>
      <c r="AQ2" s="111">
        <v>42</v>
      </c>
      <c r="AR2" s="111">
        <v>43</v>
      </c>
      <c r="AS2" s="111">
        <v>44</v>
      </c>
      <c r="AT2" s="111">
        <v>45</v>
      </c>
      <c r="AU2" s="111">
        <v>46</v>
      </c>
      <c r="AV2" s="111">
        <v>47</v>
      </c>
      <c r="AW2" s="111">
        <v>48</v>
      </c>
      <c r="AX2" s="111">
        <v>49</v>
      </c>
      <c r="AY2" s="111">
        <v>50</v>
      </c>
      <c r="AZ2" s="111">
        <v>51</v>
      </c>
      <c r="BA2" s="111">
        <v>52</v>
      </c>
      <c r="BB2" s="111">
        <v>53</v>
      </c>
      <c r="BC2" s="111">
        <v>54</v>
      </c>
      <c r="BD2" s="111">
        <v>55</v>
      </c>
      <c r="BE2" s="111">
        <v>56</v>
      </c>
      <c r="BF2" s="111">
        <v>57</v>
      </c>
      <c r="BG2" s="111">
        <v>58</v>
      </c>
      <c r="BH2" s="111">
        <v>59</v>
      </c>
      <c r="BI2" s="111">
        <v>60</v>
      </c>
      <c r="BJ2" s="111">
        <v>61</v>
      </c>
      <c r="BK2" s="111">
        <v>64</v>
      </c>
      <c r="BL2" s="111">
        <v>65</v>
      </c>
      <c r="BM2" s="111">
        <v>66</v>
      </c>
      <c r="BN2" s="111">
        <v>67</v>
      </c>
      <c r="BO2" s="111">
        <v>68</v>
      </c>
      <c r="BP2" s="111">
        <v>69</v>
      </c>
      <c r="BQ2" s="279">
        <v>70</v>
      </c>
      <c r="BR2" s="111">
        <v>71</v>
      </c>
      <c r="BS2" s="111">
        <v>72</v>
      </c>
      <c r="BT2" s="111">
        <v>73</v>
      </c>
      <c r="BU2" s="131"/>
      <c r="BV2" s="4">
        <v>75</v>
      </c>
      <c r="BW2" s="4">
        <v>76</v>
      </c>
      <c r="BX2" s="4">
        <v>77</v>
      </c>
      <c r="BY2" s="4">
        <v>78</v>
      </c>
      <c r="BZ2" s="4">
        <v>79</v>
      </c>
      <c r="CB2" s="4">
        <v>81</v>
      </c>
      <c r="CC2" s="4">
        <v>82</v>
      </c>
      <c r="CD2" s="4">
        <v>83</v>
      </c>
      <c r="CE2" s="4"/>
      <c r="CF2" s="4"/>
      <c r="CG2" s="4">
        <v>84</v>
      </c>
      <c r="CH2" s="4">
        <v>85</v>
      </c>
      <c r="CI2" s="4">
        <v>86</v>
      </c>
      <c r="CJ2" s="4">
        <v>87</v>
      </c>
      <c r="CK2" s="4">
        <v>88</v>
      </c>
    </row>
    <row r="3" spans="1:90" ht="13.5" thickBot="1" x14ac:dyDescent="0.35">
      <c r="D3" s="421" t="s">
        <v>39</v>
      </c>
      <c r="E3" s="422"/>
      <c r="F3" s="422"/>
      <c r="G3" s="422"/>
      <c r="H3" s="422"/>
      <c r="I3" s="422"/>
      <c r="J3" s="422"/>
      <c r="K3" s="422"/>
      <c r="L3" s="422"/>
      <c r="M3" s="422"/>
      <c r="N3" s="422"/>
      <c r="O3" s="422"/>
      <c r="P3" s="422"/>
      <c r="Q3" s="422"/>
      <c r="R3" s="422"/>
      <c r="S3" s="422"/>
      <c r="T3" s="422"/>
      <c r="U3" s="422"/>
      <c r="V3" s="422"/>
      <c r="W3" s="422"/>
      <c r="X3" s="422"/>
      <c r="Y3" s="422"/>
      <c r="Z3" s="422"/>
      <c r="AA3" s="422"/>
      <c r="AB3" s="422"/>
      <c r="AC3" s="261">
        <v>3747.49608223616</v>
      </c>
      <c r="AD3" s="262">
        <v>4859.2250883681654</v>
      </c>
      <c r="AE3" s="262">
        <v>5553.396637058876</v>
      </c>
      <c r="AF3" s="112">
        <v>1110.8699999999999</v>
      </c>
      <c r="AG3" s="112">
        <v>1444.13</v>
      </c>
      <c r="AH3" s="112">
        <v>105.25</v>
      </c>
      <c r="AI3" s="112">
        <v>210.5</v>
      </c>
      <c r="AJ3" s="112">
        <v>315.75</v>
      </c>
      <c r="AK3" s="112">
        <v>421</v>
      </c>
      <c r="AL3" s="112">
        <v>526.25</v>
      </c>
      <c r="AM3" s="112">
        <v>631.5</v>
      </c>
      <c r="AN3" s="112">
        <v>136.83000000000001</v>
      </c>
      <c r="AO3" s="112">
        <v>273.65000000000003</v>
      </c>
      <c r="AP3" s="112">
        <v>410.48</v>
      </c>
      <c r="AQ3" s="112">
        <v>547.29999999999995</v>
      </c>
      <c r="AR3" s="112">
        <v>684.12</v>
      </c>
      <c r="AS3" s="112">
        <v>820.95</v>
      </c>
      <c r="AT3" s="112">
        <v>791.7</v>
      </c>
      <c r="AU3" s="112">
        <v>1192.9000000000001</v>
      </c>
      <c r="AV3" s="112">
        <v>632.01</v>
      </c>
      <c r="AW3" s="112">
        <v>1767.4</v>
      </c>
      <c r="AX3" s="112">
        <v>989.1</v>
      </c>
      <c r="AY3" s="112">
        <v>1417.7</v>
      </c>
      <c r="AZ3" s="112">
        <v>140000</v>
      </c>
      <c r="BA3" s="113"/>
      <c r="BB3" s="113"/>
      <c r="BC3" s="112">
        <v>100000</v>
      </c>
      <c r="BD3" s="112">
        <v>1148521</v>
      </c>
      <c r="BE3" s="113"/>
      <c r="BF3" s="113"/>
      <c r="BG3" s="113"/>
      <c r="BH3" s="113"/>
      <c r="BI3" s="113"/>
      <c r="BJ3" s="113"/>
      <c r="BK3" s="113"/>
      <c r="BL3" s="115"/>
      <c r="BM3" s="114"/>
      <c r="BN3" s="116"/>
      <c r="BO3" s="114"/>
      <c r="BP3" s="114"/>
      <c r="BQ3" s="280"/>
      <c r="BR3" s="112">
        <v>2.19</v>
      </c>
      <c r="BS3" s="112">
        <v>1.27</v>
      </c>
      <c r="BT3" s="117">
        <v>1</v>
      </c>
      <c r="BU3" s="131"/>
      <c r="BV3" s="426" t="s">
        <v>16</v>
      </c>
      <c r="BW3" s="427"/>
      <c r="BX3" s="427"/>
      <c r="BY3" s="427"/>
      <c r="BZ3" s="428"/>
      <c r="CB3" s="423" t="s">
        <v>203</v>
      </c>
      <c r="CC3" s="424"/>
      <c r="CD3" s="424"/>
      <c r="CE3" s="424"/>
      <c r="CF3" s="424"/>
      <c r="CG3" s="424"/>
      <c r="CH3" s="424"/>
      <c r="CI3" s="424"/>
      <c r="CJ3" s="424"/>
      <c r="CK3" s="425"/>
    </row>
    <row r="4" spans="1:90" s="342" customFormat="1" ht="52.5" thickBot="1" x14ac:dyDescent="0.35">
      <c r="A4" s="328" t="s">
        <v>204</v>
      </c>
      <c r="B4" s="329" t="s">
        <v>204</v>
      </c>
      <c r="C4" s="330" t="s">
        <v>205</v>
      </c>
      <c r="D4" s="331" t="s">
        <v>206</v>
      </c>
      <c r="E4" s="331" t="s">
        <v>207</v>
      </c>
      <c r="F4" s="331" t="s">
        <v>208</v>
      </c>
      <c r="G4" s="331" t="s">
        <v>209</v>
      </c>
      <c r="H4" s="331" t="s">
        <v>210</v>
      </c>
      <c r="I4" s="331" t="s">
        <v>211</v>
      </c>
      <c r="J4" s="331" t="s">
        <v>212</v>
      </c>
      <c r="K4" s="331" t="s">
        <v>213</v>
      </c>
      <c r="L4" s="331" t="s">
        <v>214</v>
      </c>
      <c r="M4" s="331" t="s">
        <v>215</v>
      </c>
      <c r="N4" s="331" t="s">
        <v>216</v>
      </c>
      <c r="O4" s="331" t="s">
        <v>217</v>
      </c>
      <c r="P4" s="331" t="s">
        <v>218</v>
      </c>
      <c r="Q4" s="331" t="s">
        <v>219</v>
      </c>
      <c r="R4" s="331" t="s">
        <v>220</v>
      </c>
      <c r="S4" s="331" t="s">
        <v>221</v>
      </c>
      <c r="T4" s="331" t="s">
        <v>222</v>
      </c>
      <c r="U4" s="331" t="s">
        <v>223</v>
      </c>
      <c r="V4" s="331" t="s">
        <v>224</v>
      </c>
      <c r="W4" s="331" t="s">
        <v>225</v>
      </c>
      <c r="X4" s="331" t="s">
        <v>226</v>
      </c>
      <c r="Y4" s="331" t="s">
        <v>227</v>
      </c>
      <c r="Z4" s="331" t="s">
        <v>228</v>
      </c>
      <c r="AA4" s="331" t="s">
        <v>229</v>
      </c>
      <c r="AB4" s="331" t="s">
        <v>230</v>
      </c>
      <c r="AC4" s="332" t="s">
        <v>43</v>
      </c>
      <c r="AD4" s="333" t="s">
        <v>45</v>
      </c>
      <c r="AE4" s="333" t="s">
        <v>46</v>
      </c>
      <c r="AF4" s="333" t="s">
        <v>231</v>
      </c>
      <c r="AG4" s="333" t="s">
        <v>232</v>
      </c>
      <c r="AH4" s="333" t="s">
        <v>213</v>
      </c>
      <c r="AI4" s="333" t="s">
        <v>214</v>
      </c>
      <c r="AJ4" s="333" t="s">
        <v>215</v>
      </c>
      <c r="AK4" s="333" t="s">
        <v>216</v>
      </c>
      <c r="AL4" s="333" t="s">
        <v>217</v>
      </c>
      <c r="AM4" s="333" t="s">
        <v>218</v>
      </c>
      <c r="AN4" s="333" t="s">
        <v>219</v>
      </c>
      <c r="AO4" s="333" t="s">
        <v>220</v>
      </c>
      <c r="AP4" s="333" t="s">
        <v>221</v>
      </c>
      <c r="AQ4" s="333" t="s">
        <v>222</v>
      </c>
      <c r="AR4" s="333" t="s">
        <v>223</v>
      </c>
      <c r="AS4" s="333" t="s">
        <v>224</v>
      </c>
      <c r="AT4" s="333" t="s">
        <v>233</v>
      </c>
      <c r="AU4" s="333" t="s">
        <v>234</v>
      </c>
      <c r="AV4" s="333" t="s">
        <v>235</v>
      </c>
      <c r="AW4" s="333" t="s">
        <v>236</v>
      </c>
      <c r="AX4" s="333" t="s">
        <v>237</v>
      </c>
      <c r="AY4" s="333" t="s">
        <v>238</v>
      </c>
      <c r="AZ4" s="333" t="s">
        <v>95</v>
      </c>
      <c r="BA4" s="333" t="s">
        <v>239</v>
      </c>
      <c r="BB4" s="333" t="s">
        <v>240</v>
      </c>
      <c r="BC4" s="334" t="s">
        <v>241</v>
      </c>
      <c r="BD4" s="334" t="s">
        <v>103</v>
      </c>
      <c r="BE4" s="334" t="s">
        <v>242</v>
      </c>
      <c r="BF4" s="333" t="s">
        <v>48</v>
      </c>
      <c r="BG4" s="333" t="s">
        <v>92</v>
      </c>
      <c r="BH4" s="333" t="s">
        <v>243</v>
      </c>
      <c r="BI4" s="333" t="s">
        <v>244</v>
      </c>
      <c r="BJ4" s="333" t="s">
        <v>245</v>
      </c>
      <c r="BK4" s="333" t="s">
        <v>246</v>
      </c>
      <c r="BL4" s="335" t="s">
        <v>247</v>
      </c>
      <c r="BM4" s="335" t="s">
        <v>248</v>
      </c>
      <c r="BN4" s="336" t="s">
        <v>249</v>
      </c>
      <c r="BO4" s="335" t="s">
        <v>250</v>
      </c>
      <c r="BP4" s="335" t="s">
        <v>251</v>
      </c>
      <c r="BQ4" s="337" t="s">
        <v>125</v>
      </c>
      <c r="BR4" s="335" t="s">
        <v>252</v>
      </c>
      <c r="BS4" s="335" t="s">
        <v>253</v>
      </c>
      <c r="BT4" s="338" t="s">
        <v>254</v>
      </c>
      <c r="BU4" s="131"/>
      <c r="BV4" s="339" t="s">
        <v>255</v>
      </c>
      <c r="BW4" s="340" t="s">
        <v>256</v>
      </c>
      <c r="BX4" s="340" t="s">
        <v>144</v>
      </c>
      <c r="BY4" s="340" t="s">
        <v>257</v>
      </c>
      <c r="BZ4" s="341" t="s">
        <v>258</v>
      </c>
      <c r="CB4" s="343" t="s">
        <v>259</v>
      </c>
      <c r="CC4" s="344" t="s">
        <v>260</v>
      </c>
      <c r="CD4" s="344" t="s">
        <v>261</v>
      </c>
      <c r="CE4" s="344" t="s">
        <v>262</v>
      </c>
      <c r="CF4" s="344" t="s">
        <v>263</v>
      </c>
      <c r="CG4" s="345" t="s">
        <v>264</v>
      </c>
      <c r="CH4" s="345" t="s">
        <v>265</v>
      </c>
      <c r="CI4" s="344" t="s">
        <v>266</v>
      </c>
      <c r="CJ4" s="344" t="s">
        <v>267</v>
      </c>
      <c r="CK4" s="346" t="s">
        <v>268</v>
      </c>
    </row>
    <row r="5" spans="1:90" thickBot="1" x14ac:dyDescent="0.3">
      <c r="B5">
        <v>1000</v>
      </c>
      <c r="C5" s="94" t="s">
        <v>269</v>
      </c>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c r="AL5" s="303"/>
      <c r="AM5" s="303"/>
      <c r="AN5" s="303"/>
      <c r="AO5" s="303"/>
      <c r="AP5" s="303"/>
      <c r="AQ5" s="303"/>
      <c r="AR5" s="303"/>
      <c r="AS5" s="303"/>
      <c r="AT5" s="303"/>
      <c r="AU5" s="303"/>
      <c r="AV5" s="303"/>
      <c r="AW5" s="303"/>
      <c r="AX5" s="303"/>
      <c r="AY5" s="303"/>
      <c r="AZ5" s="303"/>
      <c r="BA5" s="303"/>
      <c r="BB5" s="303"/>
      <c r="BC5" s="303"/>
      <c r="BD5" s="303"/>
      <c r="BE5" s="303"/>
      <c r="BF5" s="303"/>
      <c r="BG5" s="303"/>
      <c r="BH5" s="303"/>
      <c r="BI5" s="303"/>
      <c r="BJ5" s="303"/>
      <c r="BK5" s="303"/>
      <c r="BL5" s="303"/>
      <c r="BM5" s="303"/>
      <c r="BN5" s="303"/>
      <c r="BO5" s="303"/>
      <c r="BP5" s="303"/>
      <c r="BQ5" s="303"/>
      <c r="BR5" s="303"/>
      <c r="BS5" s="303"/>
      <c r="BT5" s="303"/>
      <c r="BU5" s="131"/>
      <c r="BV5" s="366">
        <f>VLOOKUP(B5,EYSFF!$A$4:$Z$61,23,0)+EYSFF!Z4</f>
        <v>541647.40454415767</v>
      </c>
      <c r="BW5" s="105">
        <f>VLOOKUP(B5,EYSFF!$A$4:$AA$61,24,0)</f>
        <v>89056.998588367205</v>
      </c>
      <c r="BX5" s="367"/>
      <c r="BY5" s="303"/>
      <c r="BZ5" s="107">
        <v>27708.333333333336</v>
      </c>
      <c r="CB5" s="302"/>
      <c r="CC5" s="303"/>
      <c r="CD5" s="303"/>
      <c r="CE5" s="105"/>
      <c r="CF5" s="105"/>
      <c r="CG5" s="303"/>
      <c r="CH5" s="304"/>
      <c r="CI5" s="303"/>
      <c r="CJ5" s="303"/>
      <c r="CK5" s="305"/>
      <c r="CL5" s="2"/>
    </row>
    <row r="6" spans="1:90" ht="14.5" thickBot="1" x14ac:dyDescent="0.3">
      <c r="A6" s="48">
        <v>3122001</v>
      </c>
      <c r="B6" s="134">
        <v>2001</v>
      </c>
      <c r="C6" s="98" t="s">
        <v>42</v>
      </c>
      <c r="D6" s="306">
        <v>579</v>
      </c>
      <c r="E6" s="306">
        <v>579</v>
      </c>
      <c r="F6" s="306">
        <v>0</v>
      </c>
      <c r="G6" s="306">
        <v>0</v>
      </c>
      <c r="H6" s="306">
        <v>0</v>
      </c>
      <c r="I6" s="306">
        <v>173.49097472924186</v>
      </c>
      <c r="J6" s="306">
        <v>0</v>
      </c>
      <c r="K6" s="306">
        <v>124.00000000000013</v>
      </c>
      <c r="L6" s="306">
        <v>164.0000000000002</v>
      </c>
      <c r="M6" s="306">
        <v>88.000000000000014</v>
      </c>
      <c r="N6" s="306">
        <v>1.9999999999999971</v>
      </c>
      <c r="O6" s="306">
        <v>18.999999999999986</v>
      </c>
      <c r="P6" s="306">
        <v>0</v>
      </c>
      <c r="Q6" s="306">
        <v>0</v>
      </c>
      <c r="R6" s="306">
        <v>0</v>
      </c>
      <c r="S6" s="306">
        <v>0</v>
      </c>
      <c r="T6" s="306">
        <v>0</v>
      </c>
      <c r="U6" s="306">
        <v>0</v>
      </c>
      <c r="V6" s="306">
        <v>0</v>
      </c>
      <c r="W6" s="306">
        <v>168.13496932515355</v>
      </c>
      <c r="X6" s="306">
        <v>0</v>
      </c>
      <c r="Y6" s="306">
        <v>146.59787234042551</v>
      </c>
      <c r="Z6" s="306">
        <v>0</v>
      </c>
      <c r="AA6" s="306">
        <v>0</v>
      </c>
      <c r="AB6" s="306">
        <v>0</v>
      </c>
      <c r="AC6" s="307">
        <f t="shared" ref="AC6:AC37" si="8">E6*$AC$3</f>
        <v>2169800.2316147368</v>
      </c>
      <c r="AD6" s="307">
        <f t="shared" ref="AD6:AD37" si="9">G6*$AD$3</f>
        <v>0</v>
      </c>
      <c r="AE6" s="307">
        <f t="shared" ref="AE6:AE37" si="10">H6*$AE$3</f>
        <v>0</v>
      </c>
      <c r="AF6" s="307">
        <f t="shared" ref="AF6:AF37" si="11">I6*$AF$3</f>
        <v>192725.91909747288</v>
      </c>
      <c r="AG6" s="307">
        <f t="shared" ref="AG6:AG37" si="12">J6*$AG$3</f>
        <v>0</v>
      </c>
      <c r="AH6" s="308">
        <f t="shared" ref="AH6:AH37" si="13">K6*AH$3</f>
        <v>13051.000000000013</v>
      </c>
      <c r="AI6" s="308">
        <f t="shared" ref="AI6:AI37" si="14">L6*AI$3</f>
        <v>34522.000000000044</v>
      </c>
      <c r="AJ6" s="308">
        <f t="shared" ref="AJ6:AJ37" si="15">M6*AJ$3</f>
        <v>27786.000000000004</v>
      </c>
      <c r="AK6" s="308">
        <f t="shared" ref="AK6:AK37" si="16">N6*AK$3</f>
        <v>841.99999999999875</v>
      </c>
      <c r="AL6" s="308">
        <f t="shared" ref="AL6:AL37" si="17">O6*AL$3</f>
        <v>9998.7499999999927</v>
      </c>
      <c r="AM6" s="308">
        <f t="shared" ref="AM6:AM37" si="18">P6*AM$3</f>
        <v>0</v>
      </c>
      <c r="AN6" s="308">
        <f t="shared" ref="AN6:AN37" si="19">Q6*AN$3</f>
        <v>0</v>
      </c>
      <c r="AO6" s="308">
        <f t="shared" ref="AO6:AO37" si="20">R6*AO$3</f>
        <v>0</v>
      </c>
      <c r="AP6" s="308">
        <f t="shared" ref="AP6:AP37" si="21">S6*AP$3</f>
        <v>0</v>
      </c>
      <c r="AQ6" s="308">
        <f t="shared" ref="AQ6:AQ37" si="22">T6*AQ$3</f>
        <v>0</v>
      </c>
      <c r="AR6" s="308">
        <f t="shared" ref="AR6:AR37" si="23">U6*AR$3</f>
        <v>0</v>
      </c>
      <c r="AS6" s="308">
        <f t="shared" ref="AS6:AS37" si="24">V6*AS$3</f>
        <v>0</v>
      </c>
      <c r="AT6" s="308">
        <f t="shared" ref="AT6:AT37" si="25">W6*$AT$3</f>
        <v>133112.45521472406</v>
      </c>
      <c r="AU6" s="308">
        <f t="shared" ref="AU6:AU37" si="26">X6*$AU$3</f>
        <v>0</v>
      </c>
      <c r="AV6" s="308">
        <f t="shared" ref="AV6:AV37" si="27">Y6*$AV$3</f>
        <v>92651.321297872331</v>
      </c>
      <c r="AW6" s="308">
        <f t="shared" ref="AW6:AW37" si="28">Z6*$AW$3</f>
        <v>0</v>
      </c>
      <c r="AX6" s="308">
        <f t="shared" ref="AX6:AX37" si="29">AA6*$AX$3</f>
        <v>0</v>
      </c>
      <c r="AY6" s="308">
        <f t="shared" ref="AY6:AY37" si="30">AB6*$AY$3</f>
        <v>0</v>
      </c>
      <c r="AZ6" s="308">
        <v>140000</v>
      </c>
      <c r="BA6" s="308">
        <v>11704</v>
      </c>
      <c r="BB6" s="308">
        <v>704</v>
      </c>
      <c r="BC6" s="308"/>
      <c r="BD6" s="308"/>
      <c r="BE6" s="308"/>
      <c r="BF6" s="309">
        <f t="shared" ref="BF6:BF24" si="31">AC6</f>
        <v>2169800.2316147368</v>
      </c>
      <c r="BG6" s="309">
        <f t="shared" ref="BG6:BG68" si="32">SUM(AF6:AY6)</f>
        <v>504689.44561006932</v>
      </c>
      <c r="BH6" s="309">
        <f t="shared" ref="BH6:BH69" si="33">SUM(AZ6:BE6)</f>
        <v>152408</v>
      </c>
      <c r="BI6" s="309">
        <f t="shared" ref="BI6:BI44" si="34">SUM(AV6:AW6)</f>
        <v>92651.321297872331</v>
      </c>
      <c r="BJ6" s="309">
        <f t="shared" ref="BJ6:BJ37" si="35">BF6+BG6+BH6</f>
        <v>2826897.677224806</v>
      </c>
      <c r="BK6" s="309">
        <v>2674489.6800000002</v>
      </c>
      <c r="BL6" s="310">
        <v>4619.1531599999998</v>
      </c>
      <c r="BM6" s="310">
        <v>4564.7715399999997</v>
      </c>
      <c r="BN6" s="311">
        <v>1.1913327207409608E-2</v>
      </c>
      <c r="BO6" s="311">
        <v>0</v>
      </c>
      <c r="BP6" s="310">
        <v>0</v>
      </c>
      <c r="BQ6" s="312">
        <f t="shared" ref="BQ6:BQ37" si="36">BJ6+BP6</f>
        <v>2826897.677224806</v>
      </c>
      <c r="BR6" s="310">
        <v>0</v>
      </c>
      <c r="BS6" s="310">
        <v>0</v>
      </c>
      <c r="BT6" s="313">
        <f t="shared" ref="BT6:BT37" si="37">SUM(BQ6:BS6)</f>
        <v>2826897.677224806</v>
      </c>
      <c r="BU6" s="131"/>
      <c r="BV6" s="366">
        <f>VLOOKUP(B6,EYSFF!$A$4:$Z$61,23,0)</f>
        <v>195359.29497458669</v>
      </c>
      <c r="BW6" s="105">
        <f>VLOOKUP(B6,EYSFF!$A$4:$AA$61,24,0)</f>
        <v>34837.734357608053</v>
      </c>
      <c r="BX6" s="303"/>
      <c r="BY6" s="303"/>
      <c r="BZ6" s="107">
        <v>100500</v>
      </c>
      <c r="CB6" s="302"/>
      <c r="CC6" s="303"/>
      <c r="CD6" s="303"/>
      <c r="CE6" s="303"/>
      <c r="CF6" s="303"/>
      <c r="CG6" s="303"/>
      <c r="CH6" s="303"/>
      <c r="CI6" s="303"/>
      <c r="CJ6" s="303"/>
      <c r="CK6" s="305"/>
      <c r="CL6" s="2"/>
    </row>
    <row r="7" spans="1:90" ht="14.5" thickBot="1" x14ac:dyDescent="0.3">
      <c r="A7" s="48">
        <v>3123300</v>
      </c>
      <c r="B7" s="135">
        <v>3300</v>
      </c>
      <c r="C7" s="98" t="s">
        <v>270</v>
      </c>
      <c r="D7" s="136">
        <v>220</v>
      </c>
      <c r="E7" s="136">
        <v>220</v>
      </c>
      <c r="F7" s="136">
        <v>0</v>
      </c>
      <c r="G7" s="136">
        <v>0</v>
      </c>
      <c r="H7" s="136">
        <v>0</v>
      </c>
      <c r="I7" s="136">
        <v>45.999999999999979</v>
      </c>
      <c r="J7" s="136">
        <v>0</v>
      </c>
      <c r="K7" s="136">
        <v>29.000000000000039</v>
      </c>
      <c r="L7" s="136">
        <v>4.9999999999999938</v>
      </c>
      <c r="M7" s="136">
        <v>2.999999999999992</v>
      </c>
      <c r="N7" s="136">
        <v>2.999999999999992</v>
      </c>
      <c r="O7" s="136">
        <v>0</v>
      </c>
      <c r="P7" s="136">
        <v>0</v>
      </c>
      <c r="Q7" s="136">
        <v>0</v>
      </c>
      <c r="R7" s="136">
        <v>0</v>
      </c>
      <c r="S7" s="136">
        <v>0</v>
      </c>
      <c r="T7" s="136">
        <v>0</v>
      </c>
      <c r="U7" s="136">
        <v>0</v>
      </c>
      <c r="V7" s="136">
        <v>0</v>
      </c>
      <c r="W7" s="136">
        <v>30.800000000000004</v>
      </c>
      <c r="X7" s="136">
        <v>0</v>
      </c>
      <c r="Y7" s="136">
        <v>61.988950276243095</v>
      </c>
      <c r="Z7" s="136">
        <v>0</v>
      </c>
      <c r="AA7" s="136">
        <v>7.8000000000000105</v>
      </c>
      <c r="AB7" s="136">
        <v>0</v>
      </c>
      <c r="AC7" s="226">
        <f t="shared" si="8"/>
        <v>824449.13809195522</v>
      </c>
      <c r="AD7" s="226">
        <f t="shared" si="9"/>
        <v>0</v>
      </c>
      <c r="AE7" s="226">
        <f t="shared" si="10"/>
        <v>0</v>
      </c>
      <c r="AF7" s="226">
        <f t="shared" si="11"/>
        <v>51100.019999999968</v>
      </c>
      <c r="AG7" s="226">
        <f t="shared" si="12"/>
        <v>0</v>
      </c>
      <c r="AH7" s="118">
        <f t="shared" si="13"/>
        <v>3052.2500000000041</v>
      </c>
      <c r="AI7" s="118">
        <f t="shared" si="14"/>
        <v>1052.4999999999986</v>
      </c>
      <c r="AJ7" s="118">
        <f t="shared" si="15"/>
        <v>947.2499999999975</v>
      </c>
      <c r="AK7" s="118">
        <f t="shared" si="16"/>
        <v>1262.9999999999966</v>
      </c>
      <c r="AL7" s="118">
        <f t="shared" si="17"/>
        <v>0</v>
      </c>
      <c r="AM7" s="118">
        <f t="shared" si="18"/>
        <v>0</v>
      </c>
      <c r="AN7" s="118">
        <f t="shared" si="19"/>
        <v>0</v>
      </c>
      <c r="AO7" s="118">
        <f t="shared" si="20"/>
        <v>0</v>
      </c>
      <c r="AP7" s="118">
        <f t="shared" si="21"/>
        <v>0</v>
      </c>
      <c r="AQ7" s="118">
        <f t="shared" si="22"/>
        <v>0</v>
      </c>
      <c r="AR7" s="118">
        <f t="shared" si="23"/>
        <v>0</v>
      </c>
      <c r="AS7" s="118">
        <f t="shared" si="24"/>
        <v>0</v>
      </c>
      <c r="AT7" s="118">
        <f t="shared" si="25"/>
        <v>24384.360000000004</v>
      </c>
      <c r="AU7" s="118">
        <f t="shared" si="26"/>
        <v>0</v>
      </c>
      <c r="AV7" s="118">
        <f t="shared" si="27"/>
        <v>39177.636464088398</v>
      </c>
      <c r="AW7" s="118">
        <f t="shared" si="28"/>
        <v>0</v>
      </c>
      <c r="AX7" s="118">
        <f t="shared" si="29"/>
        <v>7714.9800000000105</v>
      </c>
      <c r="AY7" s="118">
        <f t="shared" si="30"/>
        <v>0</v>
      </c>
      <c r="AZ7" s="118">
        <v>140000</v>
      </c>
      <c r="BA7" s="118">
        <v>5747</v>
      </c>
      <c r="BB7" s="118">
        <v>323</v>
      </c>
      <c r="BC7" s="118"/>
      <c r="BD7" s="118"/>
      <c r="BE7" s="118"/>
      <c r="BF7" s="276">
        <f t="shared" si="31"/>
        <v>824449.13809195522</v>
      </c>
      <c r="BG7" s="276">
        <f t="shared" si="32"/>
        <v>128691.99646408838</v>
      </c>
      <c r="BH7" s="276">
        <f t="shared" si="33"/>
        <v>146070</v>
      </c>
      <c r="BI7" s="276">
        <f t="shared" si="34"/>
        <v>39177.636464088398</v>
      </c>
      <c r="BJ7" s="276">
        <f t="shared" si="35"/>
        <v>1099211.1345560437</v>
      </c>
      <c r="BK7" s="276">
        <v>953141.13</v>
      </c>
      <c r="BL7" s="119">
        <v>4332.4597000000003</v>
      </c>
      <c r="BM7" s="119">
        <v>4175.6960499999996</v>
      </c>
      <c r="BN7" s="228">
        <v>3.7541921452646232E-2</v>
      </c>
      <c r="BO7" s="228">
        <v>0</v>
      </c>
      <c r="BP7" s="119">
        <v>0</v>
      </c>
      <c r="BQ7" s="281">
        <f t="shared" si="36"/>
        <v>1099211.1345560437</v>
      </c>
      <c r="BR7" s="119">
        <v>-481.8</v>
      </c>
      <c r="BS7" s="119">
        <v>-279.39999999999998</v>
      </c>
      <c r="BT7" s="120">
        <f t="shared" si="37"/>
        <v>1098449.9345560437</v>
      </c>
      <c r="BU7" s="229"/>
      <c r="BV7" s="366">
        <f>VLOOKUP(B7,EYSFF!$A$4:$Z$61,23,0)</f>
        <v>41071.074062087791</v>
      </c>
      <c r="BW7" s="105">
        <f>VLOOKUP(B7,EYSFF!$A$4:$AA$61,24,0)</f>
        <v>17205.44994492867</v>
      </c>
      <c r="BX7" s="303"/>
      <c r="BY7" s="303"/>
      <c r="BZ7" s="107">
        <v>77708.333333333328</v>
      </c>
      <c r="CA7" s="273"/>
      <c r="CB7" s="314">
        <f>$I7*1345</f>
        <v>61869.999999999971</v>
      </c>
      <c r="CC7" s="315">
        <v>4340</v>
      </c>
      <c r="CD7" s="315">
        <v>4690</v>
      </c>
      <c r="CE7" s="303"/>
      <c r="CF7" s="303"/>
      <c r="CG7" s="315">
        <v>7617</v>
      </c>
      <c r="CH7" s="322">
        <v>28528</v>
      </c>
      <c r="CI7" s="105"/>
      <c r="CJ7" s="303"/>
      <c r="CK7" s="305"/>
      <c r="CL7" s="2"/>
    </row>
    <row r="8" spans="1:90" ht="14.5" thickBot="1" x14ac:dyDescent="0.3">
      <c r="A8" s="48">
        <v>3123401</v>
      </c>
      <c r="B8" s="135">
        <v>3401</v>
      </c>
      <c r="C8" s="98" t="s">
        <v>47</v>
      </c>
      <c r="D8" s="136">
        <v>627</v>
      </c>
      <c r="E8" s="136">
        <v>627</v>
      </c>
      <c r="F8" s="136">
        <v>0</v>
      </c>
      <c r="G8" s="136">
        <v>0</v>
      </c>
      <c r="H8" s="136">
        <v>0</v>
      </c>
      <c r="I8" s="136">
        <v>93.999999999999957</v>
      </c>
      <c r="J8" s="136">
        <v>0</v>
      </c>
      <c r="K8" s="136">
        <v>186.29712460063919</v>
      </c>
      <c r="L8" s="136">
        <v>229.36581469648561</v>
      </c>
      <c r="M8" s="136">
        <v>7.0111821086262083</v>
      </c>
      <c r="N8" s="136">
        <v>3.0047923322683725</v>
      </c>
      <c r="O8" s="136">
        <v>4.00638977635783</v>
      </c>
      <c r="P8" s="136">
        <v>0</v>
      </c>
      <c r="Q8" s="136">
        <v>0</v>
      </c>
      <c r="R8" s="136">
        <v>0</v>
      </c>
      <c r="S8" s="136">
        <v>0</v>
      </c>
      <c r="T8" s="136">
        <v>0</v>
      </c>
      <c r="U8" s="136">
        <v>0</v>
      </c>
      <c r="V8" s="136">
        <v>0</v>
      </c>
      <c r="W8" s="136">
        <v>242.86033519553061</v>
      </c>
      <c r="X8" s="136">
        <v>0</v>
      </c>
      <c r="Y8" s="136">
        <v>162.79107505070994</v>
      </c>
      <c r="Z8" s="136">
        <v>0</v>
      </c>
      <c r="AA8" s="136">
        <v>0</v>
      </c>
      <c r="AB8" s="136">
        <v>0</v>
      </c>
      <c r="AC8" s="226">
        <f t="shared" si="8"/>
        <v>2349680.0435620723</v>
      </c>
      <c r="AD8" s="226">
        <f t="shared" si="9"/>
        <v>0</v>
      </c>
      <c r="AE8" s="226">
        <f t="shared" si="10"/>
        <v>0</v>
      </c>
      <c r="AF8" s="226">
        <f t="shared" si="11"/>
        <v>104421.77999999994</v>
      </c>
      <c r="AG8" s="226">
        <f t="shared" si="12"/>
        <v>0</v>
      </c>
      <c r="AH8" s="118">
        <f t="shared" si="13"/>
        <v>19607.772364217275</v>
      </c>
      <c r="AI8" s="118">
        <f t="shared" si="14"/>
        <v>48281.503993610218</v>
      </c>
      <c r="AJ8" s="118">
        <f t="shared" si="15"/>
        <v>2213.7807507987254</v>
      </c>
      <c r="AK8" s="118">
        <f t="shared" si="16"/>
        <v>1265.0175718849848</v>
      </c>
      <c r="AL8" s="118">
        <f t="shared" si="17"/>
        <v>2108.362619808308</v>
      </c>
      <c r="AM8" s="118">
        <f t="shared" si="18"/>
        <v>0</v>
      </c>
      <c r="AN8" s="118">
        <f t="shared" si="19"/>
        <v>0</v>
      </c>
      <c r="AO8" s="118">
        <f t="shared" si="20"/>
        <v>0</v>
      </c>
      <c r="AP8" s="118">
        <f t="shared" si="21"/>
        <v>0</v>
      </c>
      <c r="AQ8" s="118">
        <f t="shared" si="22"/>
        <v>0</v>
      </c>
      <c r="AR8" s="118">
        <f t="shared" si="23"/>
        <v>0</v>
      </c>
      <c r="AS8" s="118">
        <f t="shared" si="24"/>
        <v>0</v>
      </c>
      <c r="AT8" s="118">
        <f t="shared" si="25"/>
        <v>192272.5273743016</v>
      </c>
      <c r="AU8" s="118">
        <f t="shared" si="26"/>
        <v>0</v>
      </c>
      <c r="AV8" s="118">
        <f t="shared" si="27"/>
        <v>102885.58734279919</v>
      </c>
      <c r="AW8" s="118">
        <f t="shared" si="28"/>
        <v>0</v>
      </c>
      <c r="AX8" s="118">
        <f t="shared" si="29"/>
        <v>0</v>
      </c>
      <c r="AY8" s="118">
        <f t="shared" si="30"/>
        <v>0</v>
      </c>
      <c r="AZ8" s="118">
        <v>140000</v>
      </c>
      <c r="BA8" s="118">
        <v>11066</v>
      </c>
      <c r="BB8" s="118">
        <v>666</v>
      </c>
      <c r="BC8" s="118"/>
      <c r="BD8" s="118"/>
      <c r="BE8" s="118"/>
      <c r="BF8" s="276">
        <f t="shared" si="31"/>
        <v>2349680.0435620723</v>
      </c>
      <c r="BG8" s="276">
        <f t="shared" si="32"/>
        <v>473056.33201742027</v>
      </c>
      <c r="BH8" s="276">
        <f t="shared" si="33"/>
        <v>151732</v>
      </c>
      <c r="BI8" s="276">
        <f t="shared" si="34"/>
        <v>102885.58734279919</v>
      </c>
      <c r="BJ8" s="276">
        <f t="shared" si="35"/>
        <v>2974468.3755794927</v>
      </c>
      <c r="BK8" s="276">
        <v>2822736.38</v>
      </c>
      <c r="BL8" s="119">
        <v>4501.9718899999998</v>
      </c>
      <c r="BM8" s="119">
        <v>4437.0399299999999</v>
      </c>
      <c r="BN8" s="228">
        <v>1.4634071754979926E-2</v>
      </c>
      <c r="BO8" s="228">
        <v>0</v>
      </c>
      <c r="BP8" s="119">
        <v>0</v>
      </c>
      <c r="BQ8" s="281">
        <f t="shared" si="36"/>
        <v>2974468.3755794927</v>
      </c>
      <c r="BR8" s="119">
        <v>-1373.1299999999999</v>
      </c>
      <c r="BS8" s="119">
        <v>-796.29</v>
      </c>
      <c r="BT8" s="120">
        <f t="shared" si="37"/>
        <v>2972298.9555794927</v>
      </c>
      <c r="BU8" s="229"/>
      <c r="BV8" s="366">
        <f>VLOOKUP(B8,EYSFF!$A$4:$Z$61,23,0)</f>
        <v>268032.12414469937</v>
      </c>
      <c r="BW8" s="105">
        <f>VLOOKUP(B8,EYSFF!$A$4:$AA$61,24,0)</f>
        <v>0</v>
      </c>
      <c r="BX8" s="303"/>
      <c r="BY8" s="303"/>
      <c r="BZ8" s="107">
        <v>67041.666666666672</v>
      </c>
      <c r="CA8" s="273"/>
      <c r="CB8" s="314">
        <f>$I8*1345</f>
        <v>126429.99999999994</v>
      </c>
      <c r="CC8" s="315">
        <v>0</v>
      </c>
      <c r="CD8" s="315">
        <v>0</v>
      </c>
      <c r="CE8" s="303"/>
      <c r="CF8" s="303"/>
      <c r="CG8" s="315">
        <v>8917</v>
      </c>
      <c r="CH8" s="322">
        <v>77139</v>
      </c>
      <c r="CI8" s="105"/>
      <c r="CJ8" s="303"/>
      <c r="CK8" s="305"/>
    </row>
    <row r="9" spans="1:90" ht="14.5" thickBot="1" x14ac:dyDescent="0.3">
      <c r="A9" s="48">
        <v>3122003</v>
      </c>
      <c r="B9" s="137">
        <v>2003</v>
      </c>
      <c r="C9" s="98" t="s">
        <v>49</v>
      </c>
      <c r="D9" s="136">
        <v>198</v>
      </c>
      <c r="E9" s="136">
        <v>198</v>
      </c>
      <c r="F9" s="136">
        <v>0</v>
      </c>
      <c r="G9" s="136">
        <v>0</v>
      </c>
      <c r="H9" s="136">
        <v>0</v>
      </c>
      <c r="I9" s="136">
        <v>39.251101321585899</v>
      </c>
      <c r="J9" s="136">
        <v>0</v>
      </c>
      <c r="K9" s="136">
        <v>78.000000000000014</v>
      </c>
      <c r="L9" s="136">
        <v>1.9999999999999998</v>
      </c>
      <c r="M9" s="136">
        <v>3</v>
      </c>
      <c r="N9" s="136">
        <v>0.99999999999999989</v>
      </c>
      <c r="O9" s="136">
        <v>0.99999999999999989</v>
      </c>
      <c r="P9" s="136">
        <v>0</v>
      </c>
      <c r="Q9" s="136">
        <v>0</v>
      </c>
      <c r="R9" s="136">
        <v>0</v>
      </c>
      <c r="S9" s="136">
        <v>0</v>
      </c>
      <c r="T9" s="136">
        <v>0</v>
      </c>
      <c r="U9" s="136">
        <v>0</v>
      </c>
      <c r="V9" s="136">
        <v>0</v>
      </c>
      <c r="W9" s="136">
        <v>60.564705882352847</v>
      </c>
      <c r="X9" s="136">
        <v>0</v>
      </c>
      <c r="Y9" s="136">
        <v>51.056603773584904</v>
      </c>
      <c r="Z9" s="136">
        <v>0</v>
      </c>
      <c r="AA9" s="136">
        <v>0</v>
      </c>
      <c r="AB9" s="136">
        <v>0</v>
      </c>
      <c r="AC9" s="226">
        <f t="shared" si="8"/>
        <v>742004.22428275971</v>
      </c>
      <c r="AD9" s="226">
        <f t="shared" si="9"/>
        <v>0</v>
      </c>
      <c r="AE9" s="226">
        <f t="shared" si="10"/>
        <v>0</v>
      </c>
      <c r="AF9" s="226">
        <f t="shared" si="11"/>
        <v>43602.870925110125</v>
      </c>
      <c r="AG9" s="226">
        <f t="shared" si="12"/>
        <v>0</v>
      </c>
      <c r="AH9" s="118">
        <f t="shared" si="13"/>
        <v>8209.5000000000018</v>
      </c>
      <c r="AI9" s="118">
        <f t="shared" si="14"/>
        <v>420.99999999999994</v>
      </c>
      <c r="AJ9" s="118">
        <f t="shared" si="15"/>
        <v>947.25</v>
      </c>
      <c r="AK9" s="118">
        <f t="shared" si="16"/>
        <v>420.99999999999994</v>
      </c>
      <c r="AL9" s="118">
        <f t="shared" si="17"/>
        <v>526.24999999999989</v>
      </c>
      <c r="AM9" s="118">
        <f t="shared" si="18"/>
        <v>0</v>
      </c>
      <c r="AN9" s="118">
        <f t="shared" si="19"/>
        <v>0</v>
      </c>
      <c r="AO9" s="118">
        <f t="shared" si="20"/>
        <v>0</v>
      </c>
      <c r="AP9" s="118">
        <f t="shared" si="21"/>
        <v>0</v>
      </c>
      <c r="AQ9" s="118">
        <f t="shared" si="22"/>
        <v>0</v>
      </c>
      <c r="AR9" s="118">
        <f t="shared" si="23"/>
        <v>0</v>
      </c>
      <c r="AS9" s="118">
        <f t="shared" si="24"/>
        <v>0</v>
      </c>
      <c r="AT9" s="118">
        <f t="shared" si="25"/>
        <v>47949.077647058752</v>
      </c>
      <c r="AU9" s="118">
        <f t="shared" si="26"/>
        <v>0</v>
      </c>
      <c r="AV9" s="118">
        <f t="shared" si="27"/>
        <v>32268.284150943393</v>
      </c>
      <c r="AW9" s="118">
        <f t="shared" si="28"/>
        <v>0</v>
      </c>
      <c r="AX9" s="118">
        <f t="shared" si="29"/>
        <v>0</v>
      </c>
      <c r="AY9" s="118">
        <f t="shared" si="30"/>
        <v>0</v>
      </c>
      <c r="AZ9" s="118">
        <v>140000</v>
      </c>
      <c r="BA9" s="118">
        <v>25833</v>
      </c>
      <c r="BB9" s="118">
        <v>529</v>
      </c>
      <c r="BC9" s="118"/>
      <c r="BD9" s="118"/>
      <c r="BE9" s="118"/>
      <c r="BF9" s="276">
        <f t="shared" si="31"/>
        <v>742004.22428275971</v>
      </c>
      <c r="BG9" s="276">
        <f t="shared" si="32"/>
        <v>134345.23272311228</v>
      </c>
      <c r="BH9" s="276">
        <f t="shared" si="33"/>
        <v>166362</v>
      </c>
      <c r="BI9" s="276">
        <f t="shared" si="34"/>
        <v>32268.284150943393</v>
      </c>
      <c r="BJ9" s="276">
        <f t="shared" si="35"/>
        <v>1042711.4570058719</v>
      </c>
      <c r="BK9" s="276">
        <v>876349.46</v>
      </c>
      <c r="BL9" s="119">
        <v>4426.0073599999996</v>
      </c>
      <c r="BM9" s="119">
        <v>4308.08079</v>
      </c>
      <c r="BN9" s="228">
        <v>2.7373340832092807E-2</v>
      </c>
      <c r="BO9" s="228">
        <v>0</v>
      </c>
      <c r="BP9" s="119">
        <v>0</v>
      </c>
      <c r="BQ9" s="281">
        <f t="shared" si="36"/>
        <v>1042711.4570058719</v>
      </c>
      <c r="BR9" s="119">
        <v>-433.62</v>
      </c>
      <c r="BS9" s="119">
        <v>-251.46</v>
      </c>
      <c r="BT9" s="120">
        <f t="shared" si="37"/>
        <v>1042026.377005872</v>
      </c>
      <c r="BU9" s="131"/>
      <c r="BV9" s="366">
        <f>VLOOKUP(B9,EYSFF!$A$4:$Z$61,23,0)</f>
        <v>59320.306230407274</v>
      </c>
      <c r="BW9" s="105">
        <f>VLOOKUP(B9,EYSFF!$A$4:$AA$61,24,0)</f>
        <v>9225.8047889037243</v>
      </c>
      <c r="BX9" s="303"/>
      <c r="BY9" s="303"/>
      <c r="BZ9" s="107">
        <v>6100</v>
      </c>
      <c r="CA9" s="273"/>
      <c r="CB9" s="314">
        <f>$I9*1345</f>
        <v>52792.731277533036</v>
      </c>
      <c r="CC9" s="315">
        <v>0</v>
      </c>
      <c r="CD9" s="315">
        <v>0</v>
      </c>
      <c r="CE9" s="303"/>
      <c r="CF9" s="303"/>
      <c r="CG9" s="315">
        <v>7492</v>
      </c>
      <c r="CH9" s="322">
        <v>26676</v>
      </c>
      <c r="CI9" s="105"/>
      <c r="CJ9" s="303"/>
      <c r="CK9" s="305"/>
      <c r="CL9" s="2"/>
    </row>
    <row r="10" spans="1:90" ht="14.5" thickBot="1" x14ac:dyDescent="0.3">
      <c r="A10" s="48">
        <v>3122002</v>
      </c>
      <c r="B10" s="135">
        <v>2002</v>
      </c>
      <c r="C10" s="98" t="s">
        <v>50</v>
      </c>
      <c r="D10" s="136">
        <v>326</v>
      </c>
      <c r="E10" s="136">
        <v>326</v>
      </c>
      <c r="F10" s="136">
        <v>0</v>
      </c>
      <c r="G10" s="136">
        <v>0</v>
      </c>
      <c r="H10" s="136">
        <v>0</v>
      </c>
      <c r="I10" s="136">
        <v>84.376470588235307</v>
      </c>
      <c r="J10" s="136">
        <v>0</v>
      </c>
      <c r="K10" s="136">
        <v>107.99999999999994</v>
      </c>
      <c r="L10" s="136">
        <v>133.99999999999997</v>
      </c>
      <c r="M10" s="136">
        <v>0</v>
      </c>
      <c r="N10" s="136">
        <v>0</v>
      </c>
      <c r="O10" s="136">
        <v>16.000000000000004</v>
      </c>
      <c r="P10" s="136">
        <v>0</v>
      </c>
      <c r="Q10" s="136">
        <v>0</v>
      </c>
      <c r="R10" s="136">
        <v>0</v>
      </c>
      <c r="S10" s="136">
        <v>0</v>
      </c>
      <c r="T10" s="136">
        <v>0</v>
      </c>
      <c r="U10" s="136">
        <v>0</v>
      </c>
      <c r="V10" s="136">
        <v>0</v>
      </c>
      <c r="W10" s="136">
        <v>156.01428571428585</v>
      </c>
      <c r="X10" s="136">
        <v>0</v>
      </c>
      <c r="Y10" s="136">
        <v>84.422310756972109</v>
      </c>
      <c r="Z10" s="136">
        <v>0</v>
      </c>
      <c r="AA10" s="136">
        <v>0</v>
      </c>
      <c r="AB10" s="136">
        <v>0</v>
      </c>
      <c r="AC10" s="226">
        <f t="shared" si="8"/>
        <v>1221683.7228089881</v>
      </c>
      <c r="AD10" s="226">
        <f t="shared" si="9"/>
        <v>0</v>
      </c>
      <c r="AE10" s="226">
        <f t="shared" si="10"/>
        <v>0</v>
      </c>
      <c r="AF10" s="226">
        <f t="shared" si="11"/>
        <v>93731.289882352939</v>
      </c>
      <c r="AG10" s="226">
        <f t="shared" si="12"/>
        <v>0</v>
      </c>
      <c r="AH10" s="118">
        <f t="shared" si="13"/>
        <v>11366.999999999995</v>
      </c>
      <c r="AI10" s="118">
        <f t="shared" si="14"/>
        <v>28206.999999999993</v>
      </c>
      <c r="AJ10" s="118">
        <f t="shared" si="15"/>
        <v>0</v>
      </c>
      <c r="AK10" s="118">
        <f t="shared" si="16"/>
        <v>0</v>
      </c>
      <c r="AL10" s="118">
        <f t="shared" si="17"/>
        <v>8420.0000000000018</v>
      </c>
      <c r="AM10" s="118">
        <f t="shared" si="18"/>
        <v>0</v>
      </c>
      <c r="AN10" s="118">
        <f t="shared" si="19"/>
        <v>0</v>
      </c>
      <c r="AO10" s="118">
        <f t="shared" si="20"/>
        <v>0</v>
      </c>
      <c r="AP10" s="118">
        <f t="shared" si="21"/>
        <v>0</v>
      </c>
      <c r="AQ10" s="118">
        <f t="shared" si="22"/>
        <v>0</v>
      </c>
      <c r="AR10" s="118">
        <f t="shared" si="23"/>
        <v>0</v>
      </c>
      <c r="AS10" s="118">
        <f t="shared" si="24"/>
        <v>0</v>
      </c>
      <c r="AT10" s="118">
        <f t="shared" si="25"/>
        <v>123516.51000000011</v>
      </c>
      <c r="AU10" s="118">
        <f t="shared" si="26"/>
        <v>0</v>
      </c>
      <c r="AV10" s="118">
        <f t="shared" si="27"/>
        <v>53355.744621513943</v>
      </c>
      <c r="AW10" s="118">
        <f t="shared" si="28"/>
        <v>0</v>
      </c>
      <c r="AX10" s="118">
        <f t="shared" si="29"/>
        <v>0</v>
      </c>
      <c r="AY10" s="118">
        <f t="shared" si="30"/>
        <v>0</v>
      </c>
      <c r="AZ10" s="118">
        <v>140000</v>
      </c>
      <c r="BA10" s="118">
        <v>14207</v>
      </c>
      <c r="BB10" s="118">
        <v>807</v>
      </c>
      <c r="BC10" s="118"/>
      <c r="BD10" s="118"/>
      <c r="BE10" s="118"/>
      <c r="BF10" s="276">
        <f t="shared" si="31"/>
        <v>1221683.7228089881</v>
      </c>
      <c r="BG10" s="276">
        <f t="shared" si="32"/>
        <v>318597.54450386699</v>
      </c>
      <c r="BH10" s="276">
        <f t="shared" si="33"/>
        <v>155014</v>
      </c>
      <c r="BI10" s="276">
        <f t="shared" si="34"/>
        <v>53355.744621513943</v>
      </c>
      <c r="BJ10" s="276">
        <f t="shared" si="35"/>
        <v>1695295.267312855</v>
      </c>
      <c r="BK10" s="276">
        <v>1540281.27</v>
      </c>
      <c r="BL10" s="119">
        <v>4724.7891600000003</v>
      </c>
      <c r="BM10" s="119">
        <v>4679.7429400000001</v>
      </c>
      <c r="BN10" s="228">
        <v>9.6257899987331093E-3</v>
      </c>
      <c r="BO10" s="228">
        <v>0</v>
      </c>
      <c r="BP10" s="119">
        <v>0</v>
      </c>
      <c r="BQ10" s="281">
        <f t="shared" si="36"/>
        <v>1695295.267312855</v>
      </c>
      <c r="BR10" s="119">
        <v>0</v>
      </c>
      <c r="BS10" s="119">
        <v>0</v>
      </c>
      <c r="BT10" s="120">
        <f t="shared" si="37"/>
        <v>1695295.267312855</v>
      </c>
      <c r="BU10" s="131"/>
      <c r="BV10" s="366">
        <f>VLOOKUP(B10,EYSFF!$A$4:$Z$61,23,0)</f>
        <v>115937.88107275186</v>
      </c>
      <c r="BW10" s="105">
        <f>VLOOKUP(B10,EYSFF!$A$4:$AA$61,24,0)</f>
        <v>0</v>
      </c>
      <c r="BX10" s="303"/>
      <c r="BY10" s="303"/>
      <c r="BZ10" s="107">
        <v>52000</v>
      </c>
      <c r="CB10" s="302"/>
      <c r="CC10" s="303"/>
      <c r="CD10" s="303"/>
      <c r="CE10" s="303"/>
      <c r="CF10" s="303"/>
      <c r="CG10" s="303"/>
      <c r="CH10" s="303"/>
      <c r="CI10" s="303"/>
      <c r="CJ10" s="303"/>
      <c r="CK10" s="305"/>
      <c r="CL10" s="2"/>
    </row>
    <row r="11" spans="1:90" ht="14.5" thickBot="1" x14ac:dyDescent="0.3">
      <c r="A11" s="48">
        <v>3125206</v>
      </c>
      <c r="B11" s="135">
        <v>5206</v>
      </c>
      <c r="C11" s="98" t="s">
        <v>54</v>
      </c>
      <c r="D11" s="136">
        <v>436</v>
      </c>
      <c r="E11" s="136">
        <v>436</v>
      </c>
      <c r="F11" s="136">
        <v>0</v>
      </c>
      <c r="G11" s="136">
        <v>0</v>
      </c>
      <c r="H11" s="136">
        <v>0</v>
      </c>
      <c r="I11" s="136">
        <v>114.88552915766738</v>
      </c>
      <c r="J11" s="136">
        <v>0</v>
      </c>
      <c r="K11" s="136">
        <v>138.00000000000006</v>
      </c>
      <c r="L11" s="136">
        <v>98.000000000000071</v>
      </c>
      <c r="M11" s="136">
        <v>15.999999999999991</v>
      </c>
      <c r="N11" s="136">
        <v>1.0000000000000018</v>
      </c>
      <c r="O11" s="136">
        <v>6.9999999999999849</v>
      </c>
      <c r="P11" s="136">
        <v>1.0000000000000018</v>
      </c>
      <c r="Q11" s="136">
        <v>0</v>
      </c>
      <c r="R11" s="136">
        <v>0</v>
      </c>
      <c r="S11" s="136">
        <v>0</v>
      </c>
      <c r="T11" s="136">
        <v>0</v>
      </c>
      <c r="U11" s="136">
        <v>0</v>
      </c>
      <c r="V11" s="136">
        <v>0</v>
      </c>
      <c r="W11" s="136">
        <v>130.33862433862436</v>
      </c>
      <c r="X11" s="136">
        <v>0</v>
      </c>
      <c r="Y11" s="136">
        <v>111.616</v>
      </c>
      <c r="Z11" s="136">
        <v>0</v>
      </c>
      <c r="AA11" s="136">
        <v>0</v>
      </c>
      <c r="AB11" s="136">
        <v>0</v>
      </c>
      <c r="AC11" s="226">
        <f t="shared" si="8"/>
        <v>1633908.2918549657</v>
      </c>
      <c r="AD11" s="226">
        <f t="shared" si="9"/>
        <v>0</v>
      </c>
      <c r="AE11" s="226">
        <f t="shared" si="10"/>
        <v>0</v>
      </c>
      <c r="AF11" s="226">
        <f t="shared" si="11"/>
        <v>127622.88777537795</v>
      </c>
      <c r="AG11" s="226">
        <f t="shared" si="12"/>
        <v>0</v>
      </c>
      <c r="AH11" s="118">
        <f t="shared" si="13"/>
        <v>14524.500000000005</v>
      </c>
      <c r="AI11" s="118">
        <f t="shared" si="14"/>
        <v>20629.000000000015</v>
      </c>
      <c r="AJ11" s="118">
        <f t="shared" si="15"/>
        <v>5051.9999999999973</v>
      </c>
      <c r="AK11" s="118">
        <f t="shared" si="16"/>
        <v>421.00000000000074</v>
      </c>
      <c r="AL11" s="118">
        <f t="shared" si="17"/>
        <v>3683.7499999999923</v>
      </c>
      <c r="AM11" s="118">
        <f t="shared" si="18"/>
        <v>631.50000000000114</v>
      </c>
      <c r="AN11" s="118">
        <f t="shared" si="19"/>
        <v>0</v>
      </c>
      <c r="AO11" s="118">
        <f t="shared" si="20"/>
        <v>0</v>
      </c>
      <c r="AP11" s="118">
        <f t="shared" si="21"/>
        <v>0</v>
      </c>
      <c r="AQ11" s="118">
        <f t="shared" si="22"/>
        <v>0</v>
      </c>
      <c r="AR11" s="118">
        <f t="shared" si="23"/>
        <v>0</v>
      </c>
      <c r="AS11" s="118">
        <f t="shared" si="24"/>
        <v>0</v>
      </c>
      <c r="AT11" s="118">
        <f t="shared" si="25"/>
        <v>103189.0888888889</v>
      </c>
      <c r="AU11" s="118">
        <f t="shared" si="26"/>
        <v>0</v>
      </c>
      <c r="AV11" s="118">
        <f t="shared" si="27"/>
        <v>70542.428159999996</v>
      </c>
      <c r="AW11" s="118">
        <f t="shared" si="28"/>
        <v>0</v>
      </c>
      <c r="AX11" s="118">
        <f t="shared" si="29"/>
        <v>0</v>
      </c>
      <c r="AY11" s="118">
        <f t="shared" si="30"/>
        <v>0</v>
      </c>
      <c r="AZ11" s="118">
        <v>140000</v>
      </c>
      <c r="BA11" s="118">
        <v>13263</v>
      </c>
      <c r="BB11" s="118">
        <v>663</v>
      </c>
      <c r="BC11" s="118"/>
      <c r="BD11" s="118"/>
      <c r="BE11" s="118"/>
      <c r="BF11" s="276">
        <f t="shared" si="31"/>
        <v>1633908.2918549657</v>
      </c>
      <c r="BG11" s="276">
        <f t="shared" si="32"/>
        <v>346296.15482426685</v>
      </c>
      <c r="BH11" s="276">
        <f t="shared" si="33"/>
        <v>153926</v>
      </c>
      <c r="BI11" s="276">
        <f t="shared" si="34"/>
        <v>70542.428159999996</v>
      </c>
      <c r="BJ11" s="276">
        <f t="shared" si="35"/>
        <v>2134130.4466792326</v>
      </c>
      <c r="BK11" s="276">
        <v>1980204.45</v>
      </c>
      <c r="BL11" s="119">
        <v>4541.7533199999998</v>
      </c>
      <c r="BM11" s="119">
        <v>4471.8947399999997</v>
      </c>
      <c r="BN11" s="228">
        <v>1.562169441686493E-2</v>
      </c>
      <c r="BO11" s="228">
        <v>0</v>
      </c>
      <c r="BP11" s="119">
        <v>0</v>
      </c>
      <c r="BQ11" s="281">
        <f t="shared" si="36"/>
        <v>2134130.4466792326</v>
      </c>
      <c r="BR11" s="119">
        <v>0</v>
      </c>
      <c r="BS11" s="119">
        <v>0</v>
      </c>
      <c r="BT11" s="120">
        <f t="shared" si="37"/>
        <v>2134130.4466792326</v>
      </c>
      <c r="BU11" s="229"/>
      <c r="BV11" s="366">
        <f>VLOOKUP(B11,EYSFF!$A$4:$Z$61,23,0)</f>
        <v>182392.63141629539</v>
      </c>
      <c r="BW11" s="105">
        <f>VLOOKUP(B11,EYSFF!$A$4:$AA$61,24,0)</f>
        <v>45313.30631534104</v>
      </c>
      <c r="BX11" s="303"/>
      <c r="BY11" s="303"/>
      <c r="BZ11" s="107">
        <v>118425.00000000001</v>
      </c>
      <c r="CB11" s="302"/>
      <c r="CC11" s="303"/>
      <c r="CD11" s="303"/>
      <c r="CE11" s="303"/>
      <c r="CF11" s="303"/>
      <c r="CG11" s="303"/>
      <c r="CH11" s="303"/>
      <c r="CI11" s="303"/>
      <c r="CJ11" s="303"/>
      <c r="CK11" s="305"/>
    </row>
    <row r="12" spans="1:90" ht="14.5" thickBot="1" x14ac:dyDescent="0.3">
      <c r="A12" s="48">
        <v>3122084</v>
      </c>
      <c r="B12" s="135">
        <v>2084</v>
      </c>
      <c r="C12" s="98" t="s">
        <v>56</v>
      </c>
      <c r="D12" s="136">
        <v>607</v>
      </c>
      <c r="E12" s="136">
        <v>607</v>
      </c>
      <c r="F12" s="136">
        <v>0</v>
      </c>
      <c r="G12" s="136">
        <v>0</v>
      </c>
      <c r="H12" s="136">
        <v>0</v>
      </c>
      <c r="I12" s="136">
        <v>184.14606741573036</v>
      </c>
      <c r="J12" s="136">
        <v>0</v>
      </c>
      <c r="K12" s="136">
        <v>152.00000000000031</v>
      </c>
      <c r="L12" s="136">
        <v>337.00000000000011</v>
      </c>
      <c r="M12" s="136">
        <v>21.999999999999979</v>
      </c>
      <c r="N12" s="136">
        <v>5.9999999999999982</v>
      </c>
      <c r="O12" s="136">
        <v>0</v>
      </c>
      <c r="P12" s="136">
        <v>0</v>
      </c>
      <c r="Q12" s="136">
        <v>0</v>
      </c>
      <c r="R12" s="136">
        <v>0</v>
      </c>
      <c r="S12" s="136">
        <v>0</v>
      </c>
      <c r="T12" s="136">
        <v>0</v>
      </c>
      <c r="U12" s="136">
        <v>0</v>
      </c>
      <c r="V12" s="136">
        <v>0</v>
      </c>
      <c r="W12" s="136">
        <v>173.92884615384645</v>
      </c>
      <c r="X12" s="136">
        <v>0</v>
      </c>
      <c r="Y12" s="136">
        <v>232.08823529411765</v>
      </c>
      <c r="Z12" s="136">
        <v>0</v>
      </c>
      <c r="AA12" s="136">
        <v>0</v>
      </c>
      <c r="AB12" s="136">
        <v>0</v>
      </c>
      <c r="AC12" s="226">
        <f t="shared" si="8"/>
        <v>2274730.1219173493</v>
      </c>
      <c r="AD12" s="226">
        <f t="shared" si="9"/>
        <v>0</v>
      </c>
      <c r="AE12" s="226">
        <f t="shared" si="10"/>
        <v>0</v>
      </c>
      <c r="AF12" s="226">
        <f t="shared" si="11"/>
        <v>204562.34191011236</v>
      </c>
      <c r="AG12" s="226">
        <f t="shared" si="12"/>
        <v>0</v>
      </c>
      <c r="AH12" s="118">
        <f t="shared" si="13"/>
        <v>15998.000000000033</v>
      </c>
      <c r="AI12" s="118">
        <f t="shared" si="14"/>
        <v>70938.500000000029</v>
      </c>
      <c r="AJ12" s="118">
        <f t="shared" si="15"/>
        <v>6946.4999999999936</v>
      </c>
      <c r="AK12" s="118">
        <f t="shared" si="16"/>
        <v>2525.9999999999991</v>
      </c>
      <c r="AL12" s="118">
        <f t="shared" si="17"/>
        <v>0</v>
      </c>
      <c r="AM12" s="118">
        <f t="shared" si="18"/>
        <v>0</v>
      </c>
      <c r="AN12" s="118">
        <f t="shared" si="19"/>
        <v>0</v>
      </c>
      <c r="AO12" s="118">
        <f t="shared" si="20"/>
        <v>0</v>
      </c>
      <c r="AP12" s="118">
        <f t="shared" si="21"/>
        <v>0</v>
      </c>
      <c r="AQ12" s="118">
        <f t="shared" si="22"/>
        <v>0</v>
      </c>
      <c r="AR12" s="118">
        <f t="shared" si="23"/>
        <v>0</v>
      </c>
      <c r="AS12" s="118">
        <f t="shared" si="24"/>
        <v>0</v>
      </c>
      <c r="AT12" s="118">
        <f t="shared" si="25"/>
        <v>137699.46750000023</v>
      </c>
      <c r="AU12" s="118">
        <f t="shared" si="26"/>
        <v>0</v>
      </c>
      <c r="AV12" s="118">
        <f t="shared" si="27"/>
        <v>146682.08558823529</v>
      </c>
      <c r="AW12" s="118">
        <f t="shared" si="28"/>
        <v>0</v>
      </c>
      <c r="AX12" s="118">
        <f t="shared" si="29"/>
        <v>0</v>
      </c>
      <c r="AY12" s="118">
        <f t="shared" si="30"/>
        <v>0</v>
      </c>
      <c r="AZ12" s="118">
        <v>140000</v>
      </c>
      <c r="BA12" s="118">
        <v>76608</v>
      </c>
      <c r="BB12" s="118">
        <v>4608</v>
      </c>
      <c r="BC12" s="118"/>
      <c r="BD12" s="118"/>
      <c r="BE12" s="118"/>
      <c r="BF12" s="276">
        <f t="shared" si="31"/>
        <v>2274730.1219173493</v>
      </c>
      <c r="BG12" s="276">
        <f t="shared" si="32"/>
        <v>585352.89499834797</v>
      </c>
      <c r="BH12" s="276">
        <f t="shared" si="33"/>
        <v>221216</v>
      </c>
      <c r="BI12" s="276">
        <f t="shared" si="34"/>
        <v>146682.08558823529</v>
      </c>
      <c r="BJ12" s="276">
        <f t="shared" si="35"/>
        <v>3081299.0169156971</v>
      </c>
      <c r="BK12" s="276">
        <v>2860083.02</v>
      </c>
      <c r="BL12" s="119">
        <v>4711.8336399999998</v>
      </c>
      <c r="BM12" s="119">
        <v>4586.9614600000004</v>
      </c>
      <c r="BN12" s="228">
        <v>2.722328882053008E-2</v>
      </c>
      <c r="BO12" s="228">
        <v>0</v>
      </c>
      <c r="BP12" s="119">
        <v>0</v>
      </c>
      <c r="BQ12" s="281">
        <f t="shared" si="36"/>
        <v>3081299.0169156971</v>
      </c>
      <c r="BR12" s="119">
        <v>-1329.33</v>
      </c>
      <c r="BS12" s="119">
        <v>-770.89</v>
      </c>
      <c r="BT12" s="120">
        <f t="shared" si="37"/>
        <v>3079198.7969156969</v>
      </c>
      <c r="BU12" s="229"/>
      <c r="BV12" s="366">
        <f>VLOOKUP(B12,EYSFF!$A$4:$Z$61,23,0)</f>
        <v>180709.54390878481</v>
      </c>
      <c r="BW12" s="105">
        <f>VLOOKUP(B12,EYSFF!$A$4:$AA$61,24,0)</f>
        <v>43953.970798099312</v>
      </c>
      <c r="BX12" s="303"/>
      <c r="BY12" s="303"/>
      <c r="BZ12" s="107">
        <v>116391.66666666667</v>
      </c>
      <c r="CA12" s="273"/>
      <c r="CB12" s="314">
        <f>$I12*1345</f>
        <v>247676.46067415734</v>
      </c>
      <c r="CC12" s="315">
        <v>0</v>
      </c>
      <c r="CD12" s="315">
        <v>7035</v>
      </c>
      <c r="CE12" s="303"/>
      <c r="CF12" s="303"/>
      <c r="CG12" s="315">
        <v>8896</v>
      </c>
      <c r="CH12" s="322">
        <v>90255</v>
      </c>
      <c r="CI12" s="105"/>
      <c r="CJ12" s="303"/>
      <c r="CK12" s="305"/>
      <c r="CL12" s="2"/>
    </row>
    <row r="13" spans="1:90" ht="14.5" thickBot="1" x14ac:dyDescent="0.3">
      <c r="A13" s="48">
        <v>3122010</v>
      </c>
      <c r="B13" s="135">
        <v>2010</v>
      </c>
      <c r="C13" s="98" t="s">
        <v>58</v>
      </c>
      <c r="D13" s="136">
        <v>595</v>
      </c>
      <c r="E13" s="136">
        <v>595</v>
      </c>
      <c r="F13" s="136">
        <v>0</v>
      </c>
      <c r="G13" s="136">
        <v>0</v>
      </c>
      <c r="H13" s="136">
        <v>0</v>
      </c>
      <c r="I13" s="136">
        <v>209.76271186440678</v>
      </c>
      <c r="J13" s="136">
        <v>0</v>
      </c>
      <c r="K13" s="136">
        <v>232.99999999999989</v>
      </c>
      <c r="L13" s="136">
        <v>172.00000000000009</v>
      </c>
      <c r="M13" s="136">
        <v>63.999999999999979</v>
      </c>
      <c r="N13" s="136">
        <v>6.9999999999999751</v>
      </c>
      <c r="O13" s="136">
        <v>0.99999999999999822</v>
      </c>
      <c r="P13" s="136">
        <v>0</v>
      </c>
      <c r="Q13" s="136">
        <v>0</v>
      </c>
      <c r="R13" s="136">
        <v>0</v>
      </c>
      <c r="S13" s="136">
        <v>0</v>
      </c>
      <c r="T13" s="136">
        <v>0</v>
      </c>
      <c r="U13" s="136">
        <v>0</v>
      </c>
      <c r="V13" s="136">
        <v>0</v>
      </c>
      <c r="W13" s="136">
        <v>126.74556213017755</v>
      </c>
      <c r="X13" s="136">
        <v>0</v>
      </c>
      <c r="Y13" s="136">
        <v>165.20876826722338</v>
      </c>
      <c r="Z13" s="136">
        <v>0</v>
      </c>
      <c r="AA13" s="136">
        <v>0</v>
      </c>
      <c r="AB13" s="136">
        <v>0</v>
      </c>
      <c r="AC13" s="226">
        <f t="shared" si="8"/>
        <v>2229760.1689305152</v>
      </c>
      <c r="AD13" s="226">
        <f t="shared" si="9"/>
        <v>0</v>
      </c>
      <c r="AE13" s="226">
        <f t="shared" si="10"/>
        <v>0</v>
      </c>
      <c r="AF13" s="226">
        <f t="shared" si="11"/>
        <v>233019.10372881353</v>
      </c>
      <c r="AG13" s="226">
        <f t="shared" si="12"/>
        <v>0</v>
      </c>
      <c r="AH13" s="118">
        <f t="shared" si="13"/>
        <v>24523.249999999989</v>
      </c>
      <c r="AI13" s="118">
        <f t="shared" si="14"/>
        <v>36206.000000000015</v>
      </c>
      <c r="AJ13" s="118">
        <f t="shared" si="15"/>
        <v>20207.999999999993</v>
      </c>
      <c r="AK13" s="118">
        <f t="shared" si="16"/>
        <v>2946.9999999999895</v>
      </c>
      <c r="AL13" s="118">
        <f t="shared" si="17"/>
        <v>526.24999999999909</v>
      </c>
      <c r="AM13" s="118">
        <f t="shared" si="18"/>
        <v>0</v>
      </c>
      <c r="AN13" s="118">
        <f t="shared" si="19"/>
        <v>0</v>
      </c>
      <c r="AO13" s="118">
        <f t="shared" si="20"/>
        <v>0</v>
      </c>
      <c r="AP13" s="118">
        <f t="shared" si="21"/>
        <v>0</v>
      </c>
      <c r="AQ13" s="118">
        <f t="shared" si="22"/>
        <v>0</v>
      </c>
      <c r="AR13" s="118">
        <f t="shared" si="23"/>
        <v>0</v>
      </c>
      <c r="AS13" s="118">
        <f t="shared" si="24"/>
        <v>0</v>
      </c>
      <c r="AT13" s="118">
        <f t="shared" si="25"/>
        <v>100344.46153846158</v>
      </c>
      <c r="AU13" s="118">
        <f t="shared" si="26"/>
        <v>0</v>
      </c>
      <c r="AV13" s="118">
        <f t="shared" si="27"/>
        <v>104413.59363256785</v>
      </c>
      <c r="AW13" s="118">
        <f t="shared" si="28"/>
        <v>0</v>
      </c>
      <c r="AX13" s="118">
        <f t="shared" si="29"/>
        <v>0</v>
      </c>
      <c r="AY13" s="118">
        <f t="shared" si="30"/>
        <v>0</v>
      </c>
      <c r="AZ13" s="118">
        <v>140000</v>
      </c>
      <c r="BA13" s="118">
        <v>52668</v>
      </c>
      <c r="BB13" s="118">
        <v>3168</v>
      </c>
      <c r="BC13" s="118"/>
      <c r="BD13" s="118"/>
      <c r="BE13" s="118"/>
      <c r="BF13" s="276">
        <f t="shared" si="31"/>
        <v>2229760.1689305152</v>
      </c>
      <c r="BG13" s="276">
        <f t="shared" si="32"/>
        <v>522187.65889984294</v>
      </c>
      <c r="BH13" s="276">
        <f t="shared" si="33"/>
        <v>195836</v>
      </c>
      <c r="BI13" s="276">
        <f t="shared" si="34"/>
        <v>104413.59363256785</v>
      </c>
      <c r="BJ13" s="276">
        <f t="shared" si="35"/>
        <v>2947783.8278303579</v>
      </c>
      <c r="BK13" s="276">
        <v>2751947.83</v>
      </c>
      <c r="BL13" s="119">
        <v>4625.1224000000002</v>
      </c>
      <c r="BM13" s="119">
        <v>4562.9974599999996</v>
      </c>
      <c r="BN13" s="228">
        <v>1.3614940486048726E-2</v>
      </c>
      <c r="BO13" s="228">
        <v>0</v>
      </c>
      <c r="BP13" s="119">
        <v>0</v>
      </c>
      <c r="BQ13" s="281">
        <f t="shared" si="36"/>
        <v>2947783.8278303579</v>
      </c>
      <c r="BR13" s="119">
        <v>-1303.05</v>
      </c>
      <c r="BS13" s="119">
        <v>-755.65</v>
      </c>
      <c r="BT13" s="120">
        <f t="shared" si="37"/>
        <v>2945725.1278303582</v>
      </c>
      <c r="BU13" s="131"/>
      <c r="BV13" s="366">
        <f>VLOOKUP(B13,EYSFF!$A$4:$Z$61,23,0)</f>
        <v>196607.07531590411</v>
      </c>
      <c r="BW13" s="105">
        <f>VLOOKUP(B13,EYSFF!$A$4:$AA$61,24,0)</f>
        <v>66065.629980366706</v>
      </c>
      <c r="BX13" s="303"/>
      <c r="BY13" s="303"/>
      <c r="BZ13" s="107">
        <v>175533.33333333331</v>
      </c>
      <c r="CA13" s="273"/>
      <c r="CB13" s="314">
        <f>$I13*1345</f>
        <v>282130.84745762713</v>
      </c>
      <c r="CC13" s="315">
        <v>620</v>
      </c>
      <c r="CD13" s="315">
        <v>2345</v>
      </c>
      <c r="CE13" s="303"/>
      <c r="CF13" s="303"/>
      <c r="CG13" s="315">
        <v>8762</v>
      </c>
      <c r="CH13" s="322">
        <v>71805</v>
      </c>
      <c r="CI13" s="105"/>
      <c r="CJ13" s="303"/>
      <c r="CK13" s="305"/>
      <c r="CL13" s="2"/>
    </row>
    <row r="14" spans="1:90" ht="14.5" thickBot="1" x14ac:dyDescent="0.3">
      <c r="A14" s="48">
        <v>3122012</v>
      </c>
      <c r="B14" s="135">
        <v>2012</v>
      </c>
      <c r="C14" s="98" t="s">
        <v>60</v>
      </c>
      <c r="D14" s="136">
        <v>218</v>
      </c>
      <c r="E14" s="136">
        <v>218</v>
      </c>
      <c r="F14" s="136">
        <v>0</v>
      </c>
      <c r="G14" s="136">
        <v>0</v>
      </c>
      <c r="H14" s="136">
        <v>0</v>
      </c>
      <c r="I14" s="136">
        <v>61.000000000000021</v>
      </c>
      <c r="J14" s="136">
        <v>0</v>
      </c>
      <c r="K14" s="136">
        <v>69.000000000000028</v>
      </c>
      <c r="L14" s="136">
        <v>3.9999999999999978</v>
      </c>
      <c r="M14" s="136">
        <v>0</v>
      </c>
      <c r="N14" s="136">
        <v>2.0000000000000013</v>
      </c>
      <c r="O14" s="136">
        <v>0</v>
      </c>
      <c r="P14" s="136">
        <v>0</v>
      </c>
      <c r="Q14" s="136">
        <v>0</v>
      </c>
      <c r="R14" s="136">
        <v>0</v>
      </c>
      <c r="S14" s="136">
        <v>0</v>
      </c>
      <c r="T14" s="136">
        <v>0</v>
      </c>
      <c r="U14" s="136">
        <v>0</v>
      </c>
      <c r="V14" s="136">
        <v>0</v>
      </c>
      <c r="W14" s="136">
        <v>30.921985815602905</v>
      </c>
      <c r="X14" s="136">
        <v>0</v>
      </c>
      <c r="Y14" s="136">
        <v>71.71052631578948</v>
      </c>
      <c r="Z14" s="136">
        <v>0</v>
      </c>
      <c r="AA14" s="136">
        <v>0</v>
      </c>
      <c r="AB14" s="136">
        <v>0</v>
      </c>
      <c r="AC14" s="226">
        <f t="shared" si="8"/>
        <v>816954.14592748287</v>
      </c>
      <c r="AD14" s="226">
        <f t="shared" si="9"/>
        <v>0</v>
      </c>
      <c r="AE14" s="226">
        <f t="shared" si="10"/>
        <v>0</v>
      </c>
      <c r="AF14" s="226">
        <f t="shared" si="11"/>
        <v>67763.070000000022</v>
      </c>
      <c r="AG14" s="226">
        <f t="shared" si="12"/>
        <v>0</v>
      </c>
      <c r="AH14" s="118">
        <f t="shared" si="13"/>
        <v>7262.2500000000027</v>
      </c>
      <c r="AI14" s="118">
        <f t="shared" si="14"/>
        <v>841.99999999999955</v>
      </c>
      <c r="AJ14" s="118">
        <f t="shared" si="15"/>
        <v>0</v>
      </c>
      <c r="AK14" s="118">
        <f t="shared" si="16"/>
        <v>842.00000000000057</v>
      </c>
      <c r="AL14" s="118">
        <f t="shared" si="17"/>
        <v>0</v>
      </c>
      <c r="AM14" s="118">
        <f t="shared" si="18"/>
        <v>0</v>
      </c>
      <c r="AN14" s="118">
        <f t="shared" si="19"/>
        <v>0</v>
      </c>
      <c r="AO14" s="118">
        <f t="shared" si="20"/>
        <v>0</v>
      </c>
      <c r="AP14" s="118">
        <f t="shared" si="21"/>
        <v>0</v>
      </c>
      <c r="AQ14" s="118">
        <f t="shared" si="22"/>
        <v>0</v>
      </c>
      <c r="AR14" s="118">
        <f t="shared" si="23"/>
        <v>0</v>
      </c>
      <c r="AS14" s="118">
        <f t="shared" si="24"/>
        <v>0</v>
      </c>
      <c r="AT14" s="118">
        <f t="shared" si="25"/>
        <v>24480.936170212823</v>
      </c>
      <c r="AU14" s="118">
        <f t="shared" si="26"/>
        <v>0</v>
      </c>
      <c r="AV14" s="118">
        <f t="shared" si="27"/>
        <v>45321.769736842107</v>
      </c>
      <c r="AW14" s="118">
        <f t="shared" si="28"/>
        <v>0</v>
      </c>
      <c r="AX14" s="118">
        <f t="shared" si="29"/>
        <v>0</v>
      </c>
      <c r="AY14" s="118">
        <f t="shared" si="30"/>
        <v>0</v>
      </c>
      <c r="AZ14" s="118">
        <v>140000</v>
      </c>
      <c r="BA14" s="118">
        <v>27904</v>
      </c>
      <c r="BB14" s="118">
        <v>1744</v>
      </c>
      <c r="BC14" s="118"/>
      <c r="BD14" s="118"/>
      <c r="BE14" s="118"/>
      <c r="BF14" s="276">
        <f t="shared" si="31"/>
        <v>816954.14592748287</v>
      </c>
      <c r="BG14" s="276">
        <f t="shared" si="32"/>
        <v>146512.02590705495</v>
      </c>
      <c r="BH14" s="276">
        <f t="shared" si="33"/>
        <v>169648</v>
      </c>
      <c r="BI14" s="276">
        <f t="shared" si="34"/>
        <v>45321.769736842107</v>
      </c>
      <c r="BJ14" s="276">
        <f t="shared" si="35"/>
        <v>1133114.1718345378</v>
      </c>
      <c r="BK14" s="276">
        <v>963466.17</v>
      </c>
      <c r="BL14" s="119">
        <v>4419.5695999999998</v>
      </c>
      <c r="BM14" s="119">
        <v>4272.0854900000004</v>
      </c>
      <c r="BN14" s="228">
        <v>3.4522741977863626E-2</v>
      </c>
      <c r="BO14" s="228">
        <v>0</v>
      </c>
      <c r="BP14" s="119">
        <v>0</v>
      </c>
      <c r="BQ14" s="281">
        <f t="shared" si="36"/>
        <v>1133114.1718345378</v>
      </c>
      <c r="BR14" s="119">
        <v>-477.42</v>
      </c>
      <c r="BS14" s="119">
        <v>-276.86</v>
      </c>
      <c r="BT14" s="120">
        <f t="shared" si="37"/>
        <v>1132359.8918345377</v>
      </c>
      <c r="BU14" s="131"/>
      <c r="BV14" s="366">
        <f>VLOOKUP(B14,EYSFF!$A$4:$Z$61,23,0)</f>
        <v>155941.89940242638</v>
      </c>
      <c r="BW14" s="105">
        <f>VLOOKUP(B14,EYSFF!$A$4:$AA$61,24,0)</f>
        <v>37273.140408751555</v>
      </c>
      <c r="BX14" s="303"/>
      <c r="BY14" s="303"/>
      <c r="BZ14" s="107">
        <v>115433.33333333334</v>
      </c>
      <c r="CA14" s="273"/>
      <c r="CB14" s="314">
        <f>$I14*1345</f>
        <v>82045.000000000029</v>
      </c>
      <c r="CC14" s="315">
        <v>310</v>
      </c>
      <c r="CD14" s="315">
        <v>4690</v>
      </c>
      <c r="CE14" s="303"/>
      <c r="CF14" s="303"/>
      <c r="CG14" s="315">
        <v>7275</v>
      </c>
      <c r="CH14" s="322">
        <v>65134</v>
      </c>
      <c r="CI14" s="105"/>
      <c r="CJ14" s="303"/>
      <c r="CK14" s="305"/>
      <c r="CL14" s="2"/>
    </row>
    <row r="15" spans="1:90" ht="14.5" thickBot="1" x14ac:dyDescent="0.3">
      <c r="A15" s="48">
        <v>3122011</v>
      </c>
      <c r="B15" s="135">
        <v>2011</v>
      </c>
      <c r="C15" s="98" t="s">
        <v>62</v>
      </c>
      <c r="D15" s="136">
        <v>305</v>
      </c>
      <c r="E15" s="136">
        <v>305</v>
      </c>
      <c r="F15" s="136">
        <v>0</v>
      </c>
      <c r="G15" s="136">
        <v>0</v>
      </c>
      <c r="H15" s="136">
        <v>0</v>
      </c>
      <c r="I15" s="136">
        <v>71.000000000000114</v>
      </c>
      <c r="J15" s="136">
        <v>0</v>
      </c>
      <c r="K15" s="136">
        <v>101.00000000000013</v>
      </c>
      <c r="L15" s="136">
        <v>4.0000000000000133</v>
      </c>
      <c r="M15" s="136">
        <v>2.0000000000000004</v>
      </c>
      <c r="N15" s="136">
        <v>0</v>
      </c>
      <c r="O15" s="136">
        <v>0</v>
      </c>
      <c r="P15" s="136">
        <v>0</v>
      </c>
      <c r="Q15" s="136">
        <v>0</v>
      </c>
      <c r="R15" s="136">
        <v>0</v>
      </c>
      <c r="S15" s="136">
        <v>0</v>
      </c>
      <c r="T15" s="136">
        <v>0</v>
      </c>
      <c r="U15" s="136">
        <v>0</v>
      </c>
      <c r="V15" s="136">
        <v>0</v>
      </c>
      <c r="W15" s="136">
        <v>20.999999999999989</v>
      </c>
      <c r="X15" s="136">
        <v>0</v>
      </c>
      <c r="Y15" s="136">
        <v>102.00668896321071</v>
      </c>
      <c r="Z15" s="136">
        <v>0</v>
      </c>
      <c r="AA15" s="136">
        <v>0</v>
      </c>
      <c r="AB15" s="136">
        <v>0</v>
      </c>
      <c r="AC15" s="226">
        <f t="shared" si="8"/>
        <v>1142986.3050820287</v>
      </c>
      <c r="AD15" s="226">
        <f t="shared" si="9"/>
        <v>0</v>
      </c>
      <c r="AE15" s="226">
        <f t="shared" si="10"/>
        <v>0</v>
      </c>
      <c r="AF15" s="226">
        <f t="shared" si="11"/>
        <v>78871.77000000012</v>
      </c>
      <c r="AG15" s="226">
        <f t="shared" si="12"/>
        <v>0</v>
      </c>
      <c r="AH15" s="118">
        <f t="shared" si="13"/>
        <v>10630.250000000013</v>
      </c>
      <c r="AI15" s="118">
        <f t="shared" si="14"/>
        <v>842.00000000000284</v>
      </c>
      <c r="AJ15" s="118">
        <f t="shared" si="15"/>
        <v>631.50000000000011</v>
      </c>
      <c r="AK15" s="118">
        <f t="shared" si="16"/>
        <v>0</v>
      </c>
      <c r="AL15" s="118">
        <f t="shared" si="17"/>
        <v>0</v>
      </c>
      <c r="AM15" s="118">
        <f t="shared" si="18"/>
        <v>0</v>
      </c>
      <c r="AN15" s="118">
        <f t="shared" si="19"/>
        <v>0</v>
      </c>
      <c r="AO15" s="118">
        <f t="shared" si="20"/>
        <v>0</v>
      </c>
      <c r="AP15" s="118">
        <f t="shared" si="21"/>
        <v>0</v>
      </c>
      <c r="AQ15" s="118">
        <f t="shared" si="22"/>
        <v>0</v>
      </c>
      <c r="AR15" s="118">
        <f t="shared" si="23"/>
        <v>0</v>
      </c>
      <c r="AS15" s="118">
        <f t="shared" si="24"/>
        <v>0</v>
      </c>
      <c r="AT15" s="118">
        <f t="shared" si="25"/>
        <v>16625.699999999993</v>
      </c>
      <c r="AU15" s="118">
        <f t="shared" si="26"/>
        <v>0</v>
      </c>
      <c r="AV15" s="118">
        <f t="shared" si="27"/>
        <v>64469.247491638795</v>
      </c>
      <c r="AW15" s="118">
        <f t="shared" si="28"/>
        <v>0</v>
      </c>
      <c r="AX15" s="118">
        <f t="shared" si="29"/>
        <v>0</v>
      </c>
      <c r="AY15" s="118">
        <f t="shared" si="30"/>
        <v>0</v>
      </c>
      <c r="AZ15" s="118">
        <v>140000</v>
      </c>
      <c r="BA15" s="118">
        <v>6390</v>
      </c>
      <c r="BB15" s="118">
        <v>390</v>
      </c>
      <c r="BC15" s="118"/>
      <c r="BD15" s="118"/>
      <c r="BE15" s="118"/>
      <c r="BF15" s="276">
        <f t="shared" si="31"/>
        <v>1142986.3050820287</v>
      </c>
      <c r="BG15" s="276">
        <f t="shared" si="32"/>
        <v>172070.46749163893</v>
      </c>
      <c r="BH15" s="276">
        <f t="shared" si="33"/>
        <v>146780</v>
      </c>
      <c r="BI15" s="276">
        <f t="shared" si="34"/>
        <v>64469.247491638795</v>
      </c>
      <c r="BJ15" s="276">
        <f t="shared" si="35"/>
        <v>1461836.7725736676</v>
      </c>
      <c r="BK15" s="276">
        <v>1315056.77</v>
      </c>
      <c r="BL15" s="119">
        <v>4311.6615499999998</v>
      </c>
      <c r="BM15" s="119">
        <v>4207.2668899999999</v>
      </c>
      <c r="BN15" s="228">
        <v>2.4812938962773513E-2</v>
      </c>
      <c r="BO15" s="228">
        <v>0</v>
      </c>
      <c r="BP15" s="119">
        <v>0</v>
      </c>
      <c r="BQ15" s="281">
        <f t="shared" si="36"/>
        <v>1461836.7725736676</v>
      </c>
      <c r="BR15" s="119">
        <v>0</v>
      </c>
      <c r="BS15" s="119">
        <v>0</v>
      </c>
      <c r="BT15" s="120">
        <f t="shared" si="37"/>
        <v>1461836.7725736676</v>
      </c>
      <c r="BU15" s="131"/>
      <c r="BV15" s="302"/>
      <c r="BW15" s="303"/>
      <c r="BX15" s="303"/>
      <c r="BY15" s="303"/>
      <c r="BZ15" s="107">
        <v>105841.66666666667</v>
      </c>
      <c r="CB15" s="302"/>
      <c r="CC15" s="303"/>
      <c r="CD15" s="303"/>
      <c r="CE15" s="303"/>
      <c r="CF15" s="303"/>
      <c r="CG15" s="303"/>
      <c r="CH15" s="303"/>
      <c r="CI15" s="303"/>
      <c r="CJ15" s="303"/>
      <c r="CK15" s="305"/>
      <c r="CL15" s="2"/>
    </row>
    <row r="16" spans="1:90" ht="14.5" thickBot="1" x14ac:dyDescent="0.3">
      <c r="A16" s="48">
        <v>3123410</v>
      </c>
      <c r="B16" s="135">
        <v>3410</v>
      </c>
      <c r="C16" s="98" t="s">
        <v>64</v>
      </c>
      <c r="D16" s="136">
        <v>373</v>
      </c>
      <c r="E16" s="136">
        <v>373</v>
      </c>
      <c r="F16" s="136">
        <v>0</v>
      </c>
      <c r="G16" s="136">
        <v>0</v>
      </c>
      <c r="H16" s="136">
        <v>0</v>
      </c>
      <c r="I16" s="136">
        <v>93.738219895287955</v>
      </c>
      <c r="J16" s="136">
        <v>0</v>
      </c>
      <c r="K16" s="136">
        <v>107.00000000000003</v>
      </c>
      <c r="L16" s="136">
        <v>127.00000000000017</v>
      </c>
      <c r="M16" s="136">
        <v>9.9999999999999893</v>
      </c>
      <c r="N16" s="136">
        <v>65.999999999999815</v>
      </c>
      <c r="O16" s="136">
        <v>0.99999999999999889</v>
      </c>
      <c r="P16" s="136">
        <v>0</v>
      </c>
      <c r="Q16" s="136">
        <v>0</v>
      </c>
      <c r="R16" s="136">
        <v>0</v>
      </c>
      <c r="S16" s="136">
        <v>0</v>
      </c>
      <c r="T16" s="136">
        <v>0</v>
      </c>
      <c r="U16" s="136">
        <v>0</v>
      </c>
      <c r="V16" s="136">
        <v>0</v>
      </c>
      <c r="W16" s="136">
        <v>62.362776025236592</v>
      </c>
      <c r="X16" s="136">
        <v>0</v>
      </c>
      <c r="Y16" s="136">
        <v>99.888135593220341</v>
      </c>
      <c r="Z16" s="136">
        <v>0</v>
      </c>
      <c r="AA16" s="136">
        <v>0</v>
      </c>
      <c r="AB16" s="136">
        <v>0</v>
      </c>
      <c r="AC16" s="226">
        <f t="shared" si="8"/>
        <v>1397816.0386740877</v>
      </c>
      <c r="AD16" s="226">
        <f t="shared" si="9"/>
        <v>0</v>
      </c>
      <c r="AE16" s="226">
        <f t="shared" si="10"/>
        <v>0</v>
      </c>
      <c r="AF16" s="226">
        <f t="shared" si="11"/>
        <v>104130.97633507852</v>
      </c>
      <c r="AG16" s="226">
        <f t="shared" si="12"/>
        <v>0</v>
      </c>
      <c r="AH16" s="118">
        <f t="shared" si="13"/>
        <v>11261.750000000004</v>
      </c>
      <c r="AI16" s="118">
        <f t="shared" si="14"/>
        <v>26733.500000000036</v>
      </c>
      <c r="AJ16" s="118">
        <f t="shared" si="15"/>
        <v>3157.4999999999968</v>
      </c>
      <c r="AK16" s="118">
        <f t="shared" si="16"/>
        <v>27785.999999999924</v>
      </c>
      <c r="AL16" s="118">
        <f t="shared" si="17"/>
        <v>526.24999999999943</v>
      </c>
      <c r="AM16" s="118">
        <f t="shared" si="18"/>
        <v>0</v>
      </c>
      <c r="AN16" s="118">
        <f t="shared" si="19"/>
        <v>0</v>
      </c>
      <c r="AO16" s="118">
        <f t="shared" si="20"/>
        <v>0</v>
      </c>
      <c r="AP16" s="118">
        <f t="shared" si="21"/>
        <v>0</v>
      </c>
      <c r="AQ16" s="118">
        <f t="shared" si="22"/>
        <v>0</v>
      </c>
      <c r="AR16" s="118">
        <f t="shared" si="23"/>
        <v>0</v>
      </c>
      <c r="AS16" s="118">
        <f t="shared" si="24"/>
        <v>0</v>
      </c>
      <c r="AT16" s="118">
        <f t="shared" si="25"/>
        <v>49372.609779179809</v>
      </c>
      <c r="AU16" s="118">
        <f t="shared" si="26"/>
        <v>0</v>
      </c>
      <c r="AV16" s="118">
        <f t="shared" si="27"/>
        <v>63130.300576271184</v>
      </c>
      <c r="AW16" s="118">
        <f t="shared" si="28"/>
        <v>0</v>
      </c>
      <c r="AX16" s="118">
        <f t="shared" si="29"/>
        <v>0</v>
      </c>
      <c r="AY16" s="118">
        <f t="shared" si="30"/>
        <v>0</v>
      </c>
      <c r="AZ16" s="118">
        <v>140000</v>
      </c>
      <c r="BA16" s="118">
        <v>10127</v>
      </c>
      <c r="BB16" s="118">
        <v>577</v>
      </c>
      <c r="BC16" s="118"/>
      <c r="BD16" s="118"/>
      <c r="BE16" s="118"/>
      <c r="BF16" s="276">
        <f t="shared" si="31"/>
        <v>1397816.0386740877</v>
      </c>
      <c r="BG16" s="276">
        <f t="shared" si="32"/>
        <v>286098.88669052947</v>
      </c>
      <c r="BH16" s="276">
        <f t="shared" si="33"/>
        <v>150704</v>
      </c>
      <c r="BI16" s="276">
        <f t="shared" si="34"/>
        <v>63130.300576271184</v>
      </c>
      <c r="BJ16" s="276">
        <f t="shared" si="35"/>
        <v>1834618.9253646173</v>
      </c>
      <c r="BK16" s="276">
        <v>1683914.93</v>
      </c>
      <c r="BL16" s="119">
        <v>4514.5172300000004</v>
      </c>
      <c r="BM16" s="119">
        <v>4378.5856999999996</v>
      </c>
      <c r="BN16" s="228">
        <v>3.1044618396289064E-2</v>
      </c>
      <c r="BO16" s="228">
        <v>0</v>
      </c>
      <c r="BP16" s="119">
        <v>0</v>
      </c>
      <c r="BQ16" s="281">
        <f t="shared" si="36"/>
        <v>1834618.9253646173</v>
      </c>
      <c r="BR16" s="119">
        <v>0</v>
      </c>
      <c r="BS16" s="119">
        <v>0</v>
      </c>
      <c r="BT16" s="120">
        <f t="shared" si="37"/>
        <v>1834618.9253646173</v>
      </c>
      <c r="BU16" s="229"/>
      <c r="BV16" s="366">
        <f>VLOOKUP(B16,EYSFF!$A$4:$Z$61,23,0)</f>
        <v>102580.72277369075</v>
      </c>
      <c r="BW16" s="105">
        <f>VLOOKUP(B16,EYSFF!$A$4:$AA$61,24,0)</f>
        <v>19990.089566155122</v>
      </c>
      <c r="BX16" s="303"/>
      <c r="BY16" s="303"/>
      <c r="BZ16" s="107">
        <v>70741.666666666672</v>
      </c>
      <c r="CB16" s="302"/>
      <c r="CC16" s="303"/>
      <c r="CD16" s="303"/>
      <c r="CE16" s="303"/>
      <c r="CF16" s="303"/>
      <c r="CG16" s="303"/>
      <c r="CH16" s="303"/>
      <c r="CI16" s="303"/>
      <c r="CJ16" s="303"/>
      <c r="CK16" s="305"/>
    </row>
    <row r="17" spans="1:90" ht="14.5" thickBot="1" x14ac:dyDescent="0.3">
      <c r="A17" s="48">
        <v>3122078</v>
      </c>
      <c r="B17" s="135">
        <v>2078</v>
      </c>
      <c r="C17" s="98" t="s">
        <v>66</v>
      </c>
      <c r="D17" s="136">
        <v>830</v>
      </c>
      <c r="E17" s="136">
        <v>830</v>
      </c>
      <c r="F17" s="136">
        <v>0</v>
      </c>
      <c r="G17" s="136">
        <v>0</v>
      </c>
      <c r="H17" s="136">
        <v>0</v>
      </c>
      <c r="I17" s="136">
        <v>184.88622754491018</v>
      </c>
      <c r="J17" s="136">
        <v>0</v>
      </c>
      <c r="K17" s="136">
        <v>265.99999999999966</v>
      </c>
      <c r="L17" s="136">
        <v>376.99999999999955</v>
      </c>
      <c r="M17" s="136">
        <v>2.0000000000000018</v>
      </c>
      <c r="N17" s="136">
        <v>0</v>
      </c>
      <c r="O17" s="136">
        <v>0</v>
      </c>
      <c r="P17" s="136">
        <v>0</v>
      </c>
      <c r="Q17" s="136">
        <v>0</v>
      </c>
      <c r="R17" s="136">
        <v>0</v>
      </c>
      <c r="S17" s="136">
        <v>0</v>
      </c>
      <c r="T17" s="136">
        <v>0</v>
      </c>
      <c r="U17" s="136">
        <v>0</v>
      </c>
      <c r="V17" s="136">
        <v>0</v>
      </c>
      <c r="W17" s="136">
        <v>355.04249291784731</v>
      </c>
      <c r="X17" s="136">
        <v>0</v>
      </c>
      <c r="Y17" s="136">
        <v>249.12332838038628</v>
      </c>
      <c r="Z17" s="136">
        <v>0</v>
      </c>
      <c r="AA17" s="136">
        <v>0</v>
      </c>
      <c r="AB17" s="136">
        <v>0</v>
      </c>
      <c r="AC17" s="226">
        <f t="shared" si="8"/>
        <v>3110421.7482560128</v>
      </c>
      <c r="AD17" s="226">
        <f t="shared" si="9"/>
        <v>0</v>
      </c>
      <c r="AE17" s="226">
        <f t="shared" si="10"/>
        <v>0</v>
      </c>
      <c r="AF17" s="226">
        <f t="shared" si="11"/>
        <v>205384.56359281435</v>
      </c>
      <c r="AG17" s="226">
        <f t="shared" si="12"/>
        <v>0</v>
      </c>
      <c r="AH17" s="118">
        <f t="shared" si="13"/>
        <v>27996.499999999964</v>
      </c>
      <c r="AI17" s="118">
        <f t="shared" si="14"/>
        <v>79358.499999999898</v>
      </c>
      <c r="AJ17" s="118">
        <f t="shared" si="15"/>
        <v>631.50000000000057</v>
      </c>
      <c r="AK17" s="118">
        <f t="shared" si="16"/>
        <v>0</v>
      </c>
      <c r="AL17" s="118">
        <f t="shared" si="17"/>
        <v>0</v>
      </c>
      <c r="AM17" s="118">
        <f t="shared" si="18"/>
        <v>0</v>
      </c>
      <c r="AN17" s="118">
        <f t="shared" si="19"/>
        <v>0</v>
      </c>
      <c r="AO17" s="118">
        <f t="shared" si="20"/>
        <v>0</v>
      </c>
      <c r="AP17" s="118">
        <f t="shared" si="21"/>
        <v>0</v>
      </c>
      <c r="AQ17" s="118">
        <f t="shared" si="22"/>
        <v>0</v>
      </c>
      <c r="AR17" s="118">
        <f t="shared" si="23"/>
        <v>0</v>
      </c>
      <c r="AS17" s="118">
        <f t="shared" si="24"/>
        <v>0</v>
      </c>
      <c r="AT17" s="118">
        <f t="shared" si="25"/>
        <v>281087.14164305973</v>
      </c>
      <c r="AU17" s="118">
        <f t="shared" si="26"/>
        <v>0</v>
      </c>
      <c r="AV17" s="118">
        <f t="shared" si="27"/>
        <v>157448.43476968794</v>
      </c>
      <c r="AW17" s="118">
        <f t="shared" si="28"/>
        <v>0</v>
      </c>
      <c r="AX17" s="118">
        <f t="shared" si="29"/>
        <v>0</v>
      </c>
      <c r="AY17" s="118">
        <f t="shared" si="30"/>
        <v>0</v>
      </c>
      <c r="AZ17" s="118">
        <v>140000</v>
      </c>
      <c r="BA17" s="118">
        <v>13087</v>
      </c>
      <c r="BB17" s="118">
        <v>787</v>
      </c>
      <c r="BC17" s="118"/>
      <c r="BD17" s="118"/>
      <c r="BE17" s="118"/>
      <c r="BF17" s="276">
        <f t="shared" si="31"/>
        <v>3110421.7482560128</v>
      </c>
      <c r="BG17" s="276">
        <f t="shared" si="32"/>
        <v>751906.64000556187</v>
      </c>
      <c r="BH17" s="276">
        <f t="shared" si="33"/>
        <v>153874</v>
      </c>
      <c r="BI17" s="276">
        <f t="shared" si="34"/>
        <v>157448.43476968794</v>
      </c>
      <c r="BJ17" s="276">
        <f t="shared" si="35"/>
        <v>4016202.3882615748</v>
      </c>
      <c r="BK17" s="276">
        <v>3862328.39</v>
      </c>
      <c r="BL17" s="119">
        <v>4653.4076999999997</v>
      </c>
      <c r="BM17" s="119">
        <v>4579.8193000000001</v>
      </c>
      <c r="BN17" s="228">
        <v>1.6067969100244779E-2</v>
      </c>
      <c r="BO17" s="228">
        <v>0</v>
      </c>
      <c r="BP17" s="119">
        <v>0</v>
      </c>
      <c r="BQ17" s="281">
        <f t="shared" si="36"/>
        <v>4016202.3882615748</v>
      </c>
      <c r="BR17" s="119">
        <v>0</v>
      </c>
      <c r="BS17" s="119">
        <v>0</v>
      </c>
      <c r="BT17" s="120">
        <f t="shared" si="37"/>
        <v>4016202.3882615748</v>
      </c>
      <c r="BU17" s="229"/>
      <c r="BV17" s="366">
        <f>VLOOKUP(B17,EYSFF!$A$4:$Z$61,23,0)</f>
        <v>336898.18188192969</v>
      </c>
      <c r="BW17" s="105">
        <f>VLOOKUP(B17,EYSFF!$A$4:$AA$61,24,0)</f>
        <v>32468.916163515809</v>
      </c>
      <c r="BX17" s="303"/>
      <c r="BY17" s="303"/>
      <c r="BZ17" s="107">
        <v>207000.00000000003</v>
      </c>
      <c r="CB17" s="302"/>
      <c r="CC17" s="303"/>
      <c r="CD17" s="303"/>
      <c r="CE17" s="303"/>
      <c r="CF17" s="303"/>
      <c r="CG17" s="303"/>
      <c r="CH17" s="303"/>
      <c r="CI17" s="303"/>
      <c r="CJ17" s="303"/>
      <c r="CK17" s="305"/>
      <c r="CL17" s="2"/>
    </row>
    <row r="18" spans="1:90" ht="14.5" thickBot="1" x14ac:dyDescent="0.3">
      <c r="A18" s="48">
        <v>3122016</v>
      </c>
      <c r="B18" s="135">
        <v>2016</v>
      </c>
      <c r="C18" s="98" t="s">
        <v>70</v>
      </c>
      <c r="D18" s="136">
        <v>624</v>
      </c>
      <c r="E18" s="136">
        <v>624</v>
      </c>
      <c r="F18" s="136">
        <v>0</v>
      </c>
      <c r="G18" s="136">
        <v>0</v>
      </c>
      <c r="H18" s="136">
        <v>0</v>
      </c>
      <c r="I18" s="136">
        <v>138.77759999999998</v>
      </c>
      <c r="J18" s="136">
        <v>0</v>
      </c>
      <c r="K18" s="136">
        <v>154.00000000000014</v>
      </c>
      <c r="L18" s="136">
        <v>16.999999999999972</v>
      </c>
      <c r="M18" s="136">
        <v>6.9999999999999893</v>
      </c>
      <c r="N18" s="136">
        <v>3.0000000000000013</v>
      </c>
      <c r="O18" s="136">
        <v>0</v>
      </c>
      <c r="P18" s="136">
        <v>0</v>
      </c>
      <c r="Q18" s="136">
        <v>0</v>
      </c>
      <c r="R18" s="136">
        <v>0</v>
      </c>
      <c r="S18" s="136">
        <v>0</v>
      </c>
      <c r="T18" s="136">
        <v>0</v>
      </c>
      <c r="U18" s="136">
        <v>0</v>
      </c>
      <c r="V18" s="136">
        <v>0</v>
      </c>
      <c r="W18" s="136">
        <v>131.12195121951245</v>
      </c>
      <c r="X18" s="136">
        <v>0</v>
      </c>
      <c r="Y18" s="136">
        <v>144.27745664739885</v>
      </c>
      <c r="Z18" s="136">
        <v>0</v>
      </c>
      <c r="AA18" s="136">
        <v>0</v>
      </c>
      <c r="AB18" s="136">
        <v>0</v>
      </c>
      <c r="AC18" s="226">
        <f t="shared" si="8"/>
        <v>2338437.5553153637</v>
      </c>
      <c r="AD18" s="226">
        <f t="shared" si="9"/>
        <v>0</v>
      </c>
      <c r="AE18" s="226">
        <f t="shared" si="10"/>
        <v>0</v>
      </c>
      <c r="AF18" s="226">
        <f t="shared" si="11"/>
        <v>154163.87251199997</v>
      </c>
      <c r="AG18" s="226">
        <f t="shared" si="12"/>
        <v>0</v>
      </c>
      <c r="AH18" s="118">
        <f t="shared" si="13"/>
        <v>16208.500000000015</v>
      </c>
      <c r="AI18" s="118">
        <f t="shared" si="14"/>
        <v>3578.4999999999941</v>
      </c>
      <c r="AJ18" s="118">
        <f t="shared" si="15"/>
        <v>2210.2499999999968</v>
      </c>
      <c r="AK18" s="118">
        <f t="shared" si="16"/>
        <v>1263.0000000000005</v>
      </c>
      <c r="AL18" s="118">
        <f t="shared" si="17"/>
        <v>0</v>
      </c>
      <c r="AM18" s="118">
        <f t="shared" si="18"/>
        <v>0</v>
      </c>
      <c r="AN18" s="118">
        <f t="shared" si="19"/>
        <v>0</v>
      </c>
      <c r="AO18" s="118">
        <f t="shared" si="20"/>
        <v>0</v>
      </c>
      <c r="AP18" s="118">
        <f t="shared" si="21"/>
        <v>0</v>
      </c>
      <c r="AQ18" s="118">
        <f t="shared" si="22"/>
        <v>0</v>
      </c>
      <c r="AR18" s="118">
        <f t="shared" si="23"/>
        <v>0</v>
      </c>
      <c r="AS18" s="118">
        <f t="shared" si="24"/>
        <v>0</v>
      </c>
      <c r="AT18" s="118">
        <f t="shared" si="25"/>
        <v>103809.24878048802</v>
      </c>
      <c r="AU18" s="118">
        <f t="shared" si="26"/>
        <v>0</v>
      </c>
      <c r="AV18" s="118">
        <f t="shared" si="27"/>
        <v>91184.795375722548</v>
      </c>
      <c r="AW18" s="118">
        <f t="shared" si="28"/>
        <v>0</v>
      </c>
      <c r="AX18" s="118">
        <f t="shared" si="29"/>
        <v>0</v>
      </c>
      <c r="AY18" s="118">
        <f t="shared" si="30"/>
        <v>0</v>
      </c>
      <c r="AZ18" s="118">
        <v>140000</v>
      </c>
      <c r="BA18" s="118">
        <v>62776</v>
      </c>
      <c r="BB18" s="118">
        <v>3776</v>
      </c>
      <c r="BC18" s="118"/>
      <c r="BD18" s="118"/>
      <c r="BE18" s="118"/>
      <c r="BF18" s="276">
        <f t="shared" si="31"/>
        <v>2338437.5553153637</v>
      </c>
      <c r="BG18" s="276">
        <f t="shared" si="32"/>
        <v>372418.16666821053</v>
      </c>
      <c r="BH18" s="276">
        <f t="shared" si="33"/>
        <v>206552</v>
      </c>
      <c r="BI18" s="276">
        <f t="shared" si="34"/>
        <v>91184.795375722548</v>
      </c>
      <c r="BJ18" s="276">
        <f t="shared" si="35"/>
        <v>2917407.7219835743</v>
      </c>
      <c r="BK18" s="276">
        <v>2710855.72</v>
      </c>
      <c r="BL18" s="119">
        <v>4344.3200699999998</v>
      </c>
      <c r="BM18" s="119">
        <v>4241.7465300000003</v>
      </c>
      <c r="BN18" s="228">
        <v>2.4181910566213202E-2</v>
      </c>
      <c r="BO18" s="228">
        <v>0</v>
      </c>
      <c r="BP18" s="119">
        <v>0</v>
      </c>
      <c r="BQ18" s="281">
        <f t="shared" si="36"/>
        <v>2917407.7219835743</v>
      </c>
      <c r="BR18" s="119">
        <v>-1366.56</v>
      </c>
      <c r="BS18" s="119">
        <v>-792.48</v>
      </c>
      <c r="BT18" s="120">
        <f t="shared" si="37"/>
        <v>2915248.6819835743</v>
      </c>
      <c r="BU18" s="131"/>
      <c r="BV18" s="366">
        <f>VLOOKUP(B18,EYSFF!$A$4:$Z$61,23,0)</f>
        <v>238982.44136393929</v>
      </c>
      <c r="BW18" s="105">
        <f>VLOOKUP(B18,EYSFF!$A$4:$AA$61,24,0)</f>
        <v>101092.53893321953</v>
      </c>
      <c r="BX18" s="303"/>
      <c r="BY18" s="303"/>
      <c r="BZ18" s="107">
        <v>62000</v>
      </c>
      <c r="CA18" s="273"/>
      <c r="CB18" s="314">
        <f t="shared" ref="CB18:CB32" si="38">$I18*1345</f>
        <v>186655.87199999997</v>
      </c>
      <c r="CC18" s="315">
        <v>1550</v>
      </c>
      <c r="CD18" s="315">
        <v>2345</v>
      </c>
      <c r="CE18" s="303"/>
      <c r="CF18" s="303"/>
      <c r="CG18" s="315">
        <v>8892</v>
      </c>
      <c r="CH18" s="322">
        <v>100035</v>
      </c>
      <c r="CI18" s="105"/>
      <c r="CJ18" s="303"/>
      <c r="CK18" s="305"/>
      <c r="CL18" s="2"/>
    </row>
    <row r="19" spans="1:90" ht="14.5" thickBot="1" x14ac:dyDescent="0.3">
      <c r="A19" s="48">
        <v>3123307</v>
      </c>
      <c r="B19" s="135">
        <v>3307</v>
      </c>
      <c r="C19" s="98" t="s">
        <v>72</v>
      </c>
      <c r="D19" s="136">
        <v>411</v>
      </c>
      <c r="E19" s="136">
        <v>411</v>
      </c>
      <c r="F19" s="136">
        <v>0</v>
      </c>
      <c r="G19" s="136">
        <v>0</v>
      </c>
      <c r="H19" s="136">
        <v>0</v>
      </c>
      <c r="I19" s="136">
        <v>76.627118644067792</v>
      </c>
      <c r="J19" s="136">
        <v>0</v>
      </c>
      <c r="K19" s="136">
        <v>126.99999999999987</v>
      </c>
      <c r="L19" s="136">
        <v>158.99999999999994</v>
      </c>
      <c r="M19" s="136">
        <v>7.9999999999999991</v>
      </c>
      <c r="N19" s="136">
        <v>0.99999999999999989</v>
      </c>
      <c r="O19" s="136">
        <v>5.9999999999999991</v>
      </c>
      <c r="P19" s="136">
        <v>0</v>
      </c>
      <c r="Q19" s="136">
        <v>0</v>
      </c>
      <c r="R19" s="136">
        <v>0</v>
      </c>
      <c r="S19" s="136">
        <v>0</v>
      </c>
      <c r="T19" s="136">
        <v>0</v>
      </c>
      <c r="U19" s="136">
        <v>0</v>
      </c>
      <c r="V19" s="136">
        <v>0</v>
      </c>
      <c r="W19" s="136">
        <v>120.67151162790709</v>
      </c>
      <c r="X19" s="136">
        <v>0</v>
      </c>
      <c r="Y19" s="136">
        <v>119.6735294117647</v>
      </c>
      <c r="Z19" s="136">
        <v>0</v>
      </c>
      <c r="AA19" s="136">
        <v>0</v>
      </c>
      <c r="AB19" s="136">
        <v>0</v>
      </c>
      <c r="AC19" s="226">
        <f t="shared" si="8"/>
        <v>1540220.8897990617</v>
      </c>
      <c r="AD19" s="226">
        <f t="shared" si="9"/>
        <v>0</v>
      </c>
      <c r="AE19" s="226">
        <f t="shared" si="10"/>
        <v>0</v>
      </c>
      <c r="AF19" s="226">
        <f t="shared" si="11"/>
        <v>85122.767288135583</v>
      </c>
      <c r="AG19" s="226">
        <f t="shared" si="12"/>
        <v>0</v>
      </c>
      <c r="AH19" s="118">
        <f t="shared" si="13"/>
        <v>13366.749999999987</v>
      </c>
      <c r="AI19" s="118">
        <f t="shared" si="14"/>
        <v>33469.499999999985</v>
      </c>
      <c r="AJ19" s="118">
        <f t="shared" si="15"/>
        <v>2525.9999999999995</v>
      </c>
      <c r="AK19" s="118">
        <f t="shared" si="16"/>
        <v>420.99999999999994</v>
      </c>
      <c r="AL19" s="118">
        <f t="shared" si="17"/>
        <v>3157.4999999999995</v>
      </c>
      <c r="AM19" s="118">
        <f t="shared" si="18"/>
        <v>0</v>
      </c>
      <c r="AN19" s="118">
        <f t="shared" si="19"/>
        <v>0</v>
      </c>
      <c r="AO19" s="118">
        <f t="shared" si="20"/>
        <v>0</v>
      </c>
      <c r="AP19" s="118">
        <f t="shared" si="21"/>
        <v>0</v>
      </c>
      <c r="AQ19" s="118">
        <f t="shared" si="22"/>
        <v>0</v>
      </c>
      <c r="AR19" s="118">
        <f t="shared" si="23"/>
        <v>0</v>
      </c>
      <c r="AS19" s="118">
        <f t="shared" si="24"/>
        <v>0</v>
      </c>
      <c r="AT19" s="118">
        <f t="shared" si="25"/>
        <v>95535.635755814059</v>
      </c>
      <c r="AU19" s="118">
        <f t="shared" si="26"/>
        <v>0</v>
      </c>
      <c r="AV19" s="118">
        <f t="shared" si="27"/>
        <v>75634.867323529412</v>
      </c>
      <c r="AW19" s="118">
        <f t="shared" si="28"/>
        <v>0</v>
      </c>
      <c r="AX19" s="118">
        <f t="shared" si="29"/>
        <v>0</v>
      </c>
      <c r="AY19" s="118">
        <f t="shared" si="30"/>
        <v>0</v>
      </c>
      <c r="AZ19" s="118">
        <v>140000</v>
      </c>
      <c r="BA19" s="118">
        <v>7655</v>
      </c>
      <c r="BB19" s="118">
        <v>647</v>
      </c>
      <c r="BC19" s="118"/>
      <c r="BD19" s="118"/>
      <c r="BE19" s="118"/>
      <c r="BF19" s="276">
        <f t="shared" si="31"/>
        <v>1540220.8897990617</v>
      </c>
      <c r="BG19" s="276">
        <f t="shared" si="32"/>
        <v>309234.02036747901</v>
      </c>
      <c r="BH19" s="276">
        <f t="shared" si="33"/>
        <v>148302</v>
      </c>
      <c r="BI19" s="276">
        <f t="shared" si="34"/>
        <v>75634.867323529412</v>
      </c>
      <c r="BJ19" s="276">
        <f t="shared" si="35"/>
        <v>1997756.9101665406</v>
      </c>
      <c r="BK19" s="276">
        <v>1849454.91</v>
      </c>
      <c r="BL19" s="119">
        <v>4499.8902900000003</v>
      </c>
      <c r="BM19" s="119">
        <v>4416.8346099999999</v>
      </c>
      <c r="BN19" s="228">
        <v>1.8804344202272626E-2</v>
      </c>
      <c r="BO19" s="228">
        <v>0</v>
      </c>
      <c r="BP19" s="119">
        <v>0</v>
      </c>
      <c r="BQ19" s="281">
        <f t="shared" si="36"/>
        <v>1997756.9101665406</v>
      </c>
      <c r="BR19" s="119">
        <v>-900.09</v>
      </c>
      <c r="BS19" s="119">
        <v>-521.97</v>
      </c>
      <c r="BT19" s="120">
        <f t="shared" si="37"/>
        <v>1996334.8501665406</v>
      </c>
      <c r="BU19" s="229"/>
      <c r="BV19" s="366">
        <f>VLOOKUP(B19,EYSFF!$A$4:$Z$61,23,0)</f>
        <v>141690.88699604047</v>
      </c>
      <c r="BW19" s="105">
        <f>VLOOKUP(B19,EYSFF!$A$4:$AA$61,24,0)</f>
        <v>50018.908523151636</v>
      </c>
      <c r="BX19" s="303"/>
      <c r="BY19" s="303"/>
      <c r="BZ19" s="107">
        <v>100841.66666666667</v>
      </c>
      <c r="CA19" s="273"/>
      <c r="CB19" s="314">
        <f t="shared" si="38"/>
        <v>103063.47457627118</v>
      </c>
      <c r="CC19" s="315">
        <v>0</v>
      </c>
      <c r="CD19" s="315">
        <v>9380</v>
      </c>
      <c r="CE19" s="303"/>
      <c r="CF19" s="303"/>
      <c r="CG19" s="315">
        <v>8137</v>
      </c>
      <c r="CH19" s="322">
        <v>64913</v>
      </c>
      <c r="CI19" s="105"/>
      <c r="CJ19" s="303"/>
      <c r="CK19" s="305"/>
    </row>
    <row r="20" spans="1:90" ht="14.5" thickBot="1" x14ac:dyDescent="0.3">
      <c r="A20" s="48">
        <v>3122019</v>
      </c>
      <c r="B20" s="135">
        <v>2019</v>
      </c>
      <c r="C20" s="98" t="s">
        <v>74</v>
      </c>
      <c r="D20" s="136">
        <v>291</v>
      </c>
      <c r="E20" s="136">
        <v>291</v>
      </c>
      <c r="F20" s="136">
        <v>0</v>
      </c>
      <c r="G20" s="136">
        <v>0</v>
      </c>
      <c r="H20" s="136">
        <v>0</v>
      </c>
      <c r="I20" s="136">
        <v>43.000000000000007</v>
      </c>
      <c r="J20" s="136">
        <v>0</v>
      </c>
      <c r="K20" s="136">
        <v>57.999999999999915</v>
      </c>
      <c r="L20" s="136">
        <v>7.9999999999999991</v>
      </c>
      <c r="M20" s="136">
        <v>2.0000000000000013</v>
      </c>
      <c r="N20" s="136">
        <v>1.0000000000000007</v>
      </c>
      <c r="O20" s="136">
        <v>1.0000000000000007</v>
      </c>
      <c r="P20" s="136">
        <v>0</v>
      </c>
      <c r="Q20" s="136">
        <v>0</v>
      </c>
      <c r="R20" s="136">
        <v>0</v>
      </c>
      <c r="S20" s="136">
        <v>0</v>
      </c>
      <c r="T20" s="136">
        <v>0</v>
      </c>
      <c r="U20" s="136">
        <v>0</v>
      </c>
      <c r="V20" s="136">
        <v>0</v>
      </c>
      <c r="W20" s="136">
        <v>134.30769230769243</v>
      </c>
      <c r="X20" s="136">
        <v>0</v>
      </c>
      <c r="Y20" s="136">
        <v>77.204081632653072</v>
      </c>
      <c r="Z20" s="136">
        <v>0</v>
      </c>
      <c r="AA20" s="136">
        <v>0</v>
      </c>
      <c r="AB20" s="136">
        <v>0</v>
      </c>
      <c r="AC20" s="226">
        <f t="shared" si="8"/>
        <v>1090521.3599307225</v>
      </c>
      <c r="AD20" s="226">
        <f t="shared" si="9"/>
        <v>0</v>
      </c>
      <c r="AE20" s="226">
        <f t="shared" si="10"/>
        <v>0</v>
      </c>
      <c r="AF20" s="226">
        <f t="shared" si="11"/>
        <v>47767.41</v>
      </c>
      <c r="AG20" s="226">
        <f t="shared" si="12"/>
        <v>0</v>
      </c>
      <c r="AH20" s="118">
        <f t="shared" si="13"/>
        <v>6104.4999999999909</v>
      </c>
      <c r="AI20" s="118">
        <f t="shared" si="14"/>
        <v>1683.9999999999998</v>
      </c>
      <c r="AJ20" s="118">
        <f t="shared" si="15"/>
        <v>631.50000000000045</v>
      </c>
      <c r="AK20" s="118">
        <f t="shared" si="16"/>
        <v>421.00000000000028</v>
      </c>
      <c r="AL20" s="118">
        <f t="shared" si="17"/>
        <v>526.25000000000034</v>
      </c>
      <c r="AM20" s="118">
        <f t="shared" si="18"/>
        <v>0</v>
      </c>
      <c r="AN20" s="118">
        <f t="shared" si="19"/>
        <v>0</v>
      </c>
      <c r="AO20" s="118">
        <f t="shared" si="20"/>
        <v>0</v>
      </c>
      <c r="AP20" s="118">
        <f t="shared" si="21"/>
        <v>0</v>
      </c>
      <c r="AQ20" s="118">
        <f t="shared" si="22"/>
        <v>0</v>
      </c>
      <c r="AR20" s="118">
        <f t="shared" si="23"/>
        <v>0</v>
      </c>
      <c r="AS20" s="118">
        <f t="shared" si="24"/>
        <v>0</v>
      </c>
      <c r="AT20" s="118">
        <f t="shared" si="25"/>
        <v>106331.40000000011</v>
      </c>
      <c r="AU20" s="118">
        <f t="shared" si="26"/>
        <v>0</v>
      </c>
      <c r="AV20" s="118">
        <f t="shared" si="27"/>
        <v>48793.751632653068</v>
      </c>
      <c r="AW20" s="118">
        <f t="shared" si="28"/>
        <v>0</v>
      </c>
      <c r="AX20" s="118">
        <f t="shared" si="29"/>
        <v>0</v>
      </c>
      <c r="AY20" s="118">
        <f t="shared" si="30"/>
        <v>0</v>
      </c>
      <c r="AZ20" s="118">
        <v>140000</v>
      </c>
      <c r="BA20" s="118">
        <v>41230</v>
      </c>
      <c r="BB20" s="118">
        <v>2480</v>
      </c>
      <c r="BC20" s="118"/>
      <c r="BD20" s="118"/>
      <c r="BE20" s="118"/>
      <c r="BF20" s="276">
        <f t="shared" si="31"/>
        <v>1090521.3599307225</v>
      </c>
      <c r="BG20" s="276">
        <f t="shared" si="32"/>
        <v>212259.81163265317</v>
      </c>
      <c r="BH20" s="276">
        <f t="shared" si="33"/>
        <v>183710</v>
      </c>
      <c r="BI20" s="276">
        <f t="shared" si="34"/>
        <v>48793.751632653068</v>
      </c>
      <c r="BJ20" s="276">
        <f t="shared" si="35"/>
        <v>1486491.1715633757</v>
      </c>
      <c r="BK20" s="276">
        <v>1302781.17</v>
      </c>
      <c r="BL20" s="119">
        <v>4476.9112400000004</v>
      </c>
      <c r="BM20" s="119">
        <v>4342.1489000000001</v>
      </c>
      <c r="BN20" s="228">
        <v>3.1035863871800479E-2</v>
      </c>
      <c r="BO20" s="228">
        <v>0</v>
      </c>
      <c r="BP20" s="119">
        <v>0</v>
      </c>
      <c r="BQ20" s="281">
        <f t="shared" si="36"/>
        <v>1486491.1715633757</v>
      </c>
      <c r="BR20" s="119">
        <v>-637.29</v>
      </c>
      <c r="BS20" s="119">
        <v>-369.57</v>
      </c>
      <c r="BT20" s="120">
        <f t="shared" si="37"/>
        <v>1485484.3115633756</v>
      </c>
      <c r="BU20" s="131"/>
      <c r="BV20" s="366">
        <f>VLOOKUP(B20,EYSFF!$A$4:$Z$61,23,0)</f>
        <v>226918.725910112</v>
      </c>
      <c r="BW20" s="105">
        <f>VLOOKUP(B20,EYSFF!$A$4:$AA$61,24,0)</f>
        <v>79318.337013366647</v>
      </c>
      <c r="BX20" s="303"/>
      <c r="BY20" s="303"/>
      <c r="BZ20" s="107">
        <v>43500</v>
      </c>
      <c r="CA20" s="273"/>
      <c r="CB20" s="314">
        <f t="shared" si="38"/>
        <v>57835.000000000007</v>
      </c>
      <c r="CC20" s="315">
        <v>0</v>
      </c>
      <c r="CD20" s="315">
        <v>0</v>
      </c>
      <c r="CE20" s="303"/>
      <c r="CF20" s="303"/>
      <c r="CG20" s="315">
        <v>7562</v>
      </c>
      <c r="CH20" s="322">
        <v>121821</v>
      </c>
      <c r="CI20" s="105"/>
      <c r="CJ20" s="303"/>
      <c r="CK20" s="305"/>
      <c r="CL20" s="2"/>
    </row>
    <row r="21" spans="1:90" ht="14.5" thickBot="1" x14ac:dyDescent="0.3">
      <c r="A21" s="48">
        <v>3122018</v>
      </c>
      <c r="B21" s="135">
        <v>2018</v>
      </c>
      <c r="C21" s="98" t="s">
        <v>76</v>
      </c>
      <c r="D21" s="136">
        <v>407</v>
      </c>
      <c r="E21" s="136">
        <v>407</v>
      </c>
      <c r="F21" s="136">
        <v>0</v>
      </c>
      <c r="G21" s="136">
        <v>0</v>
      </c>
      <c r="H21" s="136">
        <v>0</v>
      </c>
      <c r="I21" s="136">
        <v>72.177339901477836</v>
      </c>
      <c r="J21" s="136">
        <v>0</v>
      </c>
      <c r="K21" s="136">
        <v>70.999999999999815</v>
      </c>
      <c r="L21" s="136">
        <v>8.9999999999999947</v>
      </c>
      <c r="M21" s="136">
        <v>1.0000000000000011</v>
      </c>
      <c r="N21" s="136">
        <v>1.0000000000000011</v>
      </c>
      <c r="O21" s="136">
        <v>1.0000000000000011</v>
      </c>
      <c r="P21" s="136">
        <v>0</v>
      </c>
      <c r="Q21" s="136">
        <v>0</v>
      </c>
      <c r="R21" s="136">
        <v>0</v>
      </c>
      <c r="S21" s="136">
        <v>0</v>
      </c>
      <c r="T21" s="136">
        <v>0</v>
      </c>
      <c r="U21" s="136">
        <v>0</v>
      </c>
      <c r="V21" s="136">
        <v>0</v>
      </c>
      <c r="W21" s="136">
        <v>54.999999999999943</v>
      </c>
      <c r="X21" s="136">
        <v>0</v>
      </c>
      <c r="Y21" s="136">
        <v>147.21276595744681</v>
      </c>
      <c r="Z21" s="136">
        <v>0</v>
      </c>
      <c r="AA21" s="136">
        <v>0</v>
      </c>
      <c r="AB21" s="136">
        <v>0</v>
      </c>
      <c r="AC21" s="226">
        <f t="shared" si="8"/>
        <v>1525230.905470117</v>
      </c>
      <c r="AD21" s="226">
        <f t="shared" si="9"/>
        <v>0</v>
      </c>
      <c r="AE21" s="226">
        <f t="shared" si="10"/>
        <v>0</v>
      </c>
      <c r="AF21" s="226">
        <f t="shared" si="11"/>
        <v>80179.641576354683</v>
      </c>
      <c r="AG21" s="226">
        <f t="shared" si="12"/>
        <v>0</v>
      </c>
      <c r="AH21" s="118">
        <f t="shared" si="13"/>
        <v>7472.7499999999809</v>
      </c>
      <c r="AI21" s="118">
        <f t="shared" si="14"/>
        <v>1894.4999999999989</v>
      </c>
      <c r="AJ21" s="118">
        <f t="shared" si="15"/>
        <v>315.75000000000034</v>
      </c>
      <c r="AK21" s="118">
        <f t="shared" si="16"/>
        <v>421.00000000000045</v>
      </c>
      <c r="AL21" s="118">
        <f t="shared" si="17"/>
        <v>526.25000000000057</v>
      </c>
      <c r="AM21" s="118">
        <f t="shared" si="18"/>
        <v>0</v>
      </c>
      <c r="AN21" s="118">
        <f t="shared" si="19"/>
        <v>0</v>
      </c>
      <c r="AO21" s="118">
        <f t="shared" si="20"/>
        <v>0</v>
      </c>
      <c r="AP21" s="118">
        <f t="shared" si="21"/>
        <v>0</v>
      </c>
      <c r="AQ21" s="118">
        <f t="shared" si="22"/>
        <v>0</v>
      </c>
      <c r="AR21" s="118">
        <f t="shared" si="23"/>
        <v>0</v>
      </c>
      <c r="AS21" s="118">
        <f t="shared" si="24"/>
        <v>0</v>
      </c>
      <c r="AT21" s="118">
        <f t="shared" si="25"/>
        <v>43543.499999999956</v>
      </c>
      <c r="AU21" s="118">
        <f t="shared" si="26"/>
        <v>0</v>
      </c>
      <c r="AV21" s="118">
        <f t="shared" si="27"/>
        <v>93039.940212765956</v>
      </c>
      <c r="AW21" s="118">
        <f t="shared" si="28"/>
        <v>0</v>
      </c>
      <c r="AX21" s="118">
        <f t="shared" si="29"/>
        <v>0</v>
      </c>
      <c r="AY21" s="118">
        <f t="shared" si="30"/>
        <v>0</v>
      </c>
      <c r="AZ21" s="118">
        <v>140000</v>
      </c>
      <c r="BA21" s="118">
        <v>41230</v>
      </c>
      <c r="BB21" s="118">
        <v>2480</v>
      </c>
      <c r="BC21" s="118"/>
      <c r="BD21" s="118"/>
      <c r="BE21" s="118"/>
      <c r="BF21" s="276">
        <f t="shared" si="31"/>
        <v>1525230.905470117</v>
      </c>
      <c r="BG21" s="276">
        <f t="shared" si="32"/>
        <v>227393.33178912057</v>
      </c>
      <c r="BH21" s="276">
        <f t="shared" si="33"/>
        <v>183710</v>
      </c>
      <c r="BI21" s="276">
        <f t="shared" si="34"/>
        <v>93039.940212765956</v>
      </c>
      <c r="BJ21" s="276">
        <f t="shared" si="35"/>
        <v>1936334.2372592376</v>
      </c>
      <c r="BK21" s="276">
        <v>1752624.24</v>
      </c>
      <c r="BL21" s="119">
        <v>4306.2020599999996</v>
      </c>
      <c r="BM21" s="119">
        <v>4218.6943899999997</v>
      </c>
      <c r="BN21" s="228">
        <v>2.0742830685422004E-2</v>
      </c>
      <c r="BO21" s="228">
        <v>0</v>
      </c>
      <c r="BP21" s="119">
        <v>0</v>
      </c>
      <c r="BQ21" s="281">
        <f t="shared" si="36"/>
        <v>1936334.2372592376</v>
      </c>
      <c r="BR21" s="119">
        <v>-891.32999999999993</v>
      </c>
      <c r="BS21" s="119">
        <v>-516.89</v>
      </c>
      <c r="BT21" s="120">
        <f t="shared" si="37"/>
        <v>1934926.0172592376</v>
      </c>
      <c r="BU21" s="131"/>
      <c r="BV21" s="302"/>
      <c r="BW21" s="303"/>
      <c r="BX21" s="303"/>
      <c r="BY21" s="303"/>
      <c r="BZ21" s="107">
        <v>62125</v>
      </c>
      <c r="CA21" s="273"/>
      <c r="CB21" s="314">
        <f t="shared" si="38"/>
        <v>97078.522167487696</v>
      </c>
      <c r="CC21" s="315">
        <v>0</v>
      </c>
      <c r="CD21" s="315">
        <v>0</v>
      </c>
      <c r="CE21" s="303"/>
      <c r="CF21" s="303"/>
      <c r="CG21" s="315">
        <v>8358</v>
      </c>
      <c r="CH21" s="303"/>
      <c r="CI21" s="105"/>
      <c r="CJ21" s="303"/>
      <c r="CK21" s="305"/>
      <c r="CL21" s="2"/>
    </row>
    <row r="22" spans="1:90" ht="14.5" thickBot="1" x14ac:dyDescent="0.3">
      <c r="A22" s="48">
        <v>3122076</v>
      </c>
      <c r="B22" s="135">
        <v>2076</v>
      </c>
      <c r="C22" s="98" t="s">
        <v>78</v>
      </c>
      <c r="D22" s="136">
        <v>404</v>
      </c>
      <c r="E22" s="136">
        <v>404</v>
      </c>
      <c r="F22" s="136">
        <v>0</v>
      </c>
      <c r="G22" s="136">
        <v>0</v>
      </c>
      <c r="H22" s="136">
        <v>0</v>
      </c>
      <c r="I22" s="136">
        <v>58.143920595533501</v>
      </c>
      <c r="J22" s="136">
        <v>0</v>
      </c>
      <c r="K22" s="136">
        <v>52.000000000000114</v>
      </c>
      <c r="L22" s="136">
        <v>0</v>
      </c>
      <c r="M22" s="136">
        <v>3.0000000000000018</v>
      </c>
      <c r="N22" s="136">
        <v>1.9999999999999998</v>
      </c>
      <c r="O22" s="136">
        <v>0</v>
      </c>
      <c r="P22" s="136">
        <v>0</v>
      </c>
      <c r="Q22" s="136">
        <v>0</v>
      </c>
      <c r="R22" s="136">
        <v>0</v>
      </c>
      <c r="S22" s="136">
        <v>0</v>
      </c>
      <c r="T22" s="136">
        <v>0</v>
      </c>
      <c r="U22" s="136">
        <v>0</v>
      </c>
      <c r="V22" s="136">
        <v>0</v>
      </c>
      <c r="W22" s="136">
        <v>79.39884393063565</v>
      </c>
      <c r="X22" s="136">
        <v>0</v>
      </c>
      <c r="Y22" s="136">
        <v>98.058252427184485</v>
      </c>
      <c r="Z22" s="136">
        <v>0</v>
      </c>
      <c r="AA22" s="136">
        <v>0</v>
      </c>
      <c r="AB22" s="136">
        <v>0</v>
      </c>
      <c r="AC22" s="226">
        <f t="shared" si="8"/>
        <v>1513988.4172234086</v>
      </c>
      <c r="AD22" s="226">
        <f t="shared" si="9"/>
        <v>0</v>
      </c>
      <c r="AE22" s="226">
        <f t="shared" si="10"/>
        <v>0</v>
      </c>
      <c r="AF22" s="226">
        <f t="shared" si="11"/>
        <v>64590.337071960297</v>
      </c>
      <c r="AG22" s="226">
        <f t="shared" si="12"/>
        <v>0</v>
      </c>
      <c r="AH22" s="118">
        <f t="shared" si="13"/>
        <v>5473.0000000000118</v>
      </c>
      <c r="AI22" s="118">
        <f t="shared" si="14"/>
        <v>0</v>
      </c>
      <c r="AJ22" s="118">
        <f t="shared" si="15"/>
        <v>947.25000000000057</v>
      </c>
      <c r="AK22" s="118">
        <f t="shared" si="16"/>
        <v>841.99999999999989</v>
      </c>
      <c r="AL22" s="118">
        <f t="shared" si="17"/>
        <v>0</v>
      </c>
      <c r="AM22" s="118">
        <f t="shared" si="18"/>
        <v>0</v>
      </c>
      <c r="AN22" s="118">
        <f t="shared" si="19"/>
        <v>0</v>
      </c>
      <c r="AO22" s="118">
        <f t="shared" si="20"/>
        <v>0</v>
      </c>
      <c r="AP22" s="118">
        <f t="shared" si="21"/>
        <v>0</v>
      </c>
      <c r="AQ22" s="118">
        <f t="shared" si="22"/>
        <v>0</v>
      </c>
      <c r="AR22" s="118">
        <f t="shared" si="23"/>
        <v>0</v>
      </c>
      <c r="AS22" s="118">
        <f t="shared" si="24"/>
        <v>0</v>
      </c>
      <c r="AT22" s="118">
        <f t="shared" si="25"/>
        <v>62860.064739884248</v>
      </c>
      <c r="AU22" s="118">
        <f t="shared" si="26"/>
        <v>0</v>
      </c>
      <c r="AV22" s="118">
        <f t="shared" si="27"/>
        <v>61973.796116504862</v>
      </c>
      <c r="AW22" s="118">
        <f t="shared" si="28"/>
        <v>0</v>
      </c>
      <c r="AX22" s="118">
        <f t="shared" si="29"/>
        <v>0</v>
      </c>
      <c r="AY22" s="118">
        <f t="shared" si="30"/>
        <v>0</v>
      </c>
      <c r="AZ22" s="118">
        <v>140000</v>
      </c>
      <c r="BA22" s="118">
        <v>24202</v>
      </c>
      <c r="BB22" s="118">
        <v>922</v>
      </c>
      <c r="BC22" s="118"/>
      <c r="BD22" s="118"/>
      <c r="BE22" s="118"/>
      <c r="BF22" s="276">
        <f t="shared" si="31"/>
        <v>1513988.4172234086</v>
      </c>
      <c r="BG22" s="276">
        <f t="shared" si="32"/>
        <v>196686.44792834943</v>
      </c>
      <c r="BH22" s="276">
        <f t="shared" si="33"/>
        <v>165124</v>
      </c>
      <c r="BI22" s="276">
        <f t="shared" si="34"/>
        <v>61973.796116504862</v>
      </c>
      <c r="BJ22" s="276">
        <f t="shared" si="35"/>
        <v>1875798.8651517581</v>
      </c>
      <c r="BK22" s="276">
        <v>1710674.87</v>
      </c>
      <c r="BL22" s="119">
        <v>4234.3437299999996</v>
      </c>
      <c r="BM22" s="119">
        <v>4096.7244600000004</v>
      </c>
      <c r="BN22" s="228">
        <v>3.3592511285326462E-2</v>
      </c>
      <c r="BO22" s="228">
        <v>0</v>
      </c>
      <c r="BP22" s="119">
        <v>0</v>
      </c>
      <c r="BQ22" s="281">
        <f t="shared" si="36"/>
        <v>1875798.8651517581</v>
      </c>
      <c r="BR22" s="119">
        <v>-884.76</v>
      </c>
      <c r="BS22" s="119">
        <v>-513.08000000000004</v>
      </c>
      <c r="BT22" s="120">
        <f t="shared" si="37"/>
        <v>1874401.025151758</v>
      </c>
      <c r="BU22" s="229"/>
      <c r="BV22" s="366">
        <f>VLOOKUP(B22,EYSFF!$A$4:$Z$61,23,0)</f>
        <v>78925.952396006498</v>
      </c>
      <c r="BW22" s="105">
        <f>VLOOKUP(B22,EYSFF!$A$4:$AA$61,24,0)</f>
        <v>22921.608929379134</v>
      </c>
      <c r="BX22" s="303"/>
      <c r="BY22" s="303"/>
      <c r="BZ22" s="107">
        <v>71708.333333333343</v>
      </c>
      <c r="CA22" s="273"/>
      <c r="CB22" s="314">
        <f t="shared" si="38"/>
        <v>78203.573200992556</v>
      </c>
      <c r="CC22" s="315">
        <v>3720</v>
      </c>
      <c r="CD22" s="315">
        <v>14070</v>
      </c>
      <c r="CE22" s="303"/>
      <c r="CF22" s="303"/>
      <c r="CG22" s="315">
        <v>8100</v>
      </c>
      <c r="CH22" s="322">
        <v>64690</v>
      </c>
      <c r="CI22" s="105"/>
      <c r="CJ22" s="303"/>
      <c r="CK22" s="305"/>
      <c r="CL22" s="2"/>
    </row>
    <row r="23" spans="1:90" ht="14.5" thickBot="1" x14ac:dyDescent="0.3">
      <c r="A23" s="48">
        <v>3122020</v>
      </c>
      <c r="B23" s="135">
        <v>2020</v>
      </c>
      <c r="C23" s="98" t="s">
        <v>80</v>
      </c>
      <c r="D23" s="136">
        <v>589</v>
      </c>
      <c r="E23" s="136">
        <v>589</v>
      </c>
      <c r="F23" s="136">
        <v>0</v>
      </c>
      <c r="G23" s="136">
        <v>0</v>
      </c>
      <c r="H23" s="136">
        <v>0</v>
      </c>
      <c r="I23" s="136">
        <v>49.329983249581247</v>
      </c>
      <c r="J23" s="136">
        <v>0</v>
      </c>
      <c r="K23" s="136">
        <v>32.999999999999986</v>
      </c>
      <c r="L23" s="136">
        <v>18.999999999999979</v>
      </c>
      <c r="M23" s="136">
        <v>6.9999999999999742</v>
      </c>
      <c r="N23" s="136">
        <v>2.0000000000000009</v>
      </c>
      <c r="O23" s="136">
        <v>0</v>
      </c>
      <c r="P23" s="136">
        <v>0</v>
      </c>
      <c r="Q23" s="136">
        <v>0</v>
      </c>
      <c r="R23" s="136">
        <v>0</v>
      </c>
      <c r="S23" s="136">
        <v>0</v>
      </c>
      <c r="T23" s="136">
        <v>0</v>
      </c>
      <c r="U23" s="136">
        <v>0</v>
      </c>
      <c r="V23" s="136">
        <v>0</v>
      </c>
      <c r="W23" s="136">
        <v>54.296593186372718</v>
      </c>
      <c r="X23" s="136">
        <v>0</v>
      </c>
      <c r="Y23" s="136">
        <v>170.5983086680761</v>
      </c>
      <c r="Z23" s="136">
        <v>0</v>
      </c>
      <c r="AA23" s="136">
        <v>0</v>
      </c>
      <c r="AB23" s="136">
        <v>0</v>
      </c>
      <c r="AC23" s="226">
        <f t="shared" si="8"/>
        <v>2207275.1924370984</v>
      </c>
      <c r="AD23" s="226">
        <f t="shared" si="9"/>
        <v>0</v>
      </c>
      <c r="AE23" s="226">
        <f t="shared" si="10"/>
        <v>0</v>
      </c>
      <c r="AF23" s="226">
        <f t="shared" si="11"/>
        <v>54799.198492462318</v>
      </c>
      <c r="AG23" s="226">
        <f t="shared" si="12"/>
        <v>0</v>
      </c>
      <c r="AH23" s="118">
        <f t="shared" si="13"/>
        <v>3473.2499999999986</v>
      </c>
      <c r="AI23" s="118">
        <f t="shared" si="14"/>
        <v>3999.4999999999955</v>
      </c>
      <c r="AJ23" s="118">
        <f t="shared" si="15"/>
        <v>2210.2499999999918</v>
      </c>
      <c r="AK23" s="118">
        <f t="shared" si="16"/>
        <v>842.00000000000034</v>
      </c>
      <c r="AL23" s="118">
        <f t="shared" si="17"/>
        <v>0</v>
      </c>
      <c r="AM23" s="118">
        <f t="shared" si="18"/>
        <v>0</v>
      </c>
      <c r="AN23" s="118">
        <f t="shared" si="19"/>
        <v>0</v>
      </c>
      <c r="AO23" s="118">
        <f t="shared" si="20"/>
        <v>0</v>
      </c>
      <c r="AP23" s="118">
        <f t="shared" si="21"/>
        <v>0</v>
      </c>
      <c r="AQ23" s="118">
        <f t="shared" si="22"/>
        <v>0</v>
      </c>
      <c r="AR23" s="118">
        <f t="shared" si="23"/>
        <v>0</v>
      </c>
      <c r="AS23" s="118">
        <f t="shared" si="24"/>
        <v>0</v>
      </c>
      <c r="AT23" s="118">
        <f t="shared" si="25"/>
        <v>42986.612825651282</v>
      </c>
      <c r="AU23" s="118">
        <f t="shared" si="26"/>
        <v>0</v>
      </c>
      <c r="AV23" s="118">
        <f t="shared" si="27"/>
        <v>107819.83706131077</v>
      </c>
      <c r="AW23" s="118">
        <f t="shared" si="28"/>
        <v>0</v>
      </c>
      <c r="AX23" s="118">
        <f t="shared" si="29"/>
        <v>0</v>
      </c>
      <c r="AY23" s="118">
        <f t="shared" si="30"/>
        <v>0</v>
      </c>
      <c r="AZ23" s="118">
        <v>140000</v>
      </c>
      <c r="BA23" s="118">
        <v>81928</v>
      </c>
      <c r="BB23" s="118">
        <v>4928</v>
      </c>
      <c r="BC23" s="118"/>
      <c r="BD23" s="118"/>
      <c r="BE23" s="118"/>
      <c r="BF23" s="276">
        <f t="shared" si="31"/>
        <v>2207275.1924370984</v>
      </c>
      <c r="BG23" s="276">
        <f t="shared" si="32"/>
        <v>216130.64837942435</v>
      </c>
      <c r="BH23" s="276">
        <f t="shared" si="33"/>
        <v>226856</v>
      </c>
      <c r="BI23" s="276">
        <f t="shared" si="34"/>
        <v>107819.83706131077</v>
      </c>
      <c r="BJ23" s="276">
        <f t="shared" si="35"/>
        <v>2650261.8408165229</v>
      </c>
      <c r="BK23" s="276">
        <v>2423405.84</v>
      </c>
      <c r="BL23" s="119">
        <v>4114.4411600000003</v>
      </c>
      <c r="BM23" s="119">
        <v>4017.0086900000001</v>
      </c>
      <c r="BN23" s="228">
        <v>2.4254980295593042E-2</v>
      </c>
      <c r="BO23" s="228">
        <v>0</v>
      </c>
      <c r="BP23" s="119">
        <v>0</v>
      </c>
      <c r="BQ23" s="281">
        <f t="shared" si="36"/>
        <v>2650261.8408165229</v>
      </c>
      <c r="BR23" s="119">
        <v>-1289.9100000000001</v>
      </c>
      <c r="BS23" s="119">
        <v>-748.03</v>
      </c>
      <c r="BT23" s="120">
        <f t="shared" si="37"/>
        <v>2648223.900816523</v>
      </c>
      <c r="BU23" s="131"/>
      <c r="BV23" s="366">
        <f>VLOOKUP(B23,EYSFF!$A$4:$Z$61,23,0)</f>
        <v>162326.13090752589</v>
      </c>
      <c r="BW23" s="105">
        <f>VLOOKUP(B23,EYSFF!$A$4:$AA$61,24,0)</f>
        <v>51446.300990756281</v>
      </c>
      <c r="BX23" s="303"/>
      <c r="BY23" s="303"/>
      <c r="BZ23" s="107">
        <v>111641.66666666666</v>
      </c>
      <c r="CA23" s="273"/>
      <c r="CB23" s="314">
        <f t="shared" si="38"/>
        <v>66348.827470686781</v>
      </c>
      <c r="CC23" s="315">
        <v>19220</v>
      </c>
      <c r="CD23" s="315">
        <v>2345</v>
      </c>
      <c r="CE23" s="303"/>
      <c r="CF23" s="303"/>
      <c r="CG23" s="315">
        <v>8821</v>
      </c>
      <c r="CH23" s="322">
        <v>100258</v>
      </c>
      <c r="CI23" s="105"/>
      <c r="CJ23" s="303"/>
      <c r="CK23" s="305"/>
      <c r="CL23" s="2"/>
    </row>
    <row r="24" spans="1:90" ht="14.5" thickBot="1" x14ac:dyDescent="0.3">
      <c r="A24" s="48">
        <v>3125203</v>
      </c>
      <c r="B24" s="135">
        <v>5203</v>
      </c>
      <c r="C24" s="98" t="s">
        <v>82</v>
      </c>
      <c r="D24" s="136">
        <v>318</v>
      </c>
      <c r="E24" s="136">
        <v>318</v>
      </c>
      <c r="F24" s="136">
        <v>0</v>
      </c>
      <c r="G24" s="136">
        <v>0</v>
      </c>
      <c r="H24" s="136">
        <v>0</v>
      </c>
      <c r="I24" s="136">
        <v>52.83067092651757</v>
      </c>
      <c r="J24" s="136">
        <v>0</v>
      </c>
      <c r="K24" s="136">
        <v>88.000000000000099</v>
      </c>
      <c r="L24" s="136">
        <v>25.000000000000011</v>
      </c>
      <c r="M24" s="136">
        <v>9.9999999999999876</v>
      </c>
      <c r="N24" s="136">
        <v>0</v>
      </c>
      <c r="O24" s="136">
        <v>0.99999999999999856</v>
      </c>
      <c r="P24" s="136">
        <v>0</v>
      </c>
      <c r="Q24" s="136">
        <v>0</v>
      </c>
      <c r="R24" s="136">
        <v>0</v>
      </c>
      <c r="S24" s="136">
        <v>0</v>
      </c>
      <c r="T24" s="136">
        <v>0</v>
      </c>
      <c r="U24" s="136">
        <v>0</v>
      </c>
      <c r="V24" s="136">
        <v>0</v>
      </c>
      <c r="W24" s="136">
        <v>279.49775784753348</v>
      </c>
      <c r="X24" s="136">
        <v>0</v>
      </c>
      <c r="Y24" s="136">
        <v>97.405405405405403</v>
      </c>
      <c r="Z24" s="136">
        <v>0</v>
      </c>
      <c r="AA24" s="136">
        <v>0</v>
      </c>
      <c r="AB24" s="136">
        <v>0</v>
      </c>
      <c r="AC24" s="226">
        <f t="shared" si="8"/>
        <v>1191703.7541510989</v>
      </c>
      <c r="AD24" s="226">
        <f t="shared" si="9"/>
        <v>0</v>
      </c>
      <c r="AE24" s="226">
        <f t="shared" si="10"/>
        <v>0</v>
      </c>
      <c r="AF24" s="226">
        <f t="shared" si="11"/>
        <v>58688.007412140571</v>
      </c>
      <c r="AG24" s="226">
        <f t="shared" si="12"/>
        <v>0</v>
      </c>
      <c r="AH24" s="118">
        <f t="shared" si="13"/>
        <v>9262.0000000000109</v>
      </c>
      <c r="AI24" s="118">
        <f t="shared" si="14"/>
        <v>5262.5000000000018</v>
      </c>
      <c r="AJ24" s="118">
        <f t="shared" si="15"/>
        <v>3157.4999999999959</v>
      </c>
      <c r="AK24" s="118">
        <f t="shared" si="16"/>
        <v>0</v>
      </c>
      <c r="AL24" s="118">
        <f t="shared" si="17"/>
        <v>526.2499999999992</v>
      </c>
      <c r="AM24" s="118">
        <f t="shared" si="18"/>
        <v>0</v>
      </c>
      <c r="AN24" s="118">
        <f t="shared" si="19"/>
        <v>0</v>
      </c>
      <c r="AO24" s="118">
        <f t="shared" si="20"/>
        <v>0</v>
      </c>
      <c r="AP24" s="118">
        <f t="shared" si="21"/>
        <v>0</v>
      </c>
      <c r="AQ24" s="118">
        <f t="shared" si="22"/>
        <v>0</v>
      </c>
      <c r="AR24" s="118">
        <f t="shared" si="23"/>
        <v>0</v>
      </c>
      <c r="AS24" s="118">
        <f t="shared" si="24"/>
        <v>0</v>
      </c>
      <c r="AT24" s="118">
        <f t="shared" si="25"/>
        <v>221278.37488789228</v>
      </c>
      <c r="AU24" s="118">
        <f t="shared" si="26"/>
        <v>0</v>
      </c>
      <c r="AV24" s="118">
        <f t="shared" si="27"/>
        <v>61561.190270270265</v>
      </c>
      <c r="AW24" s="118">
        <f t="shared" si="28"/>
        <v>0</v>
      </c>
      <c r="AX24" s="118">
        <f t="shared" si="29"/>
        <v>0</v>
      </c>
      <c r="AY24" s="118">
        <f t="shared" si="30"/>
        <v>0</v>
      </c>
      <c r="AZ24" s="118">
        <v>140000</v>
      </c>
      <c r="BA24" s="118">
        <v>8246</v>
      </c>
      <c r="BB24" s="118">
        <v>496</v>
      </c>
      <c r="BC24" s="118"/>
      <c r="BD24" s="118"/>
      <c r="BE24" s="118"/>
      <c r="BF24" s="276">
        <f t="shared" si="31"/>
        <v>1191703.7541510989</v>
      </c>
      <c r="BG24" s="276">
        <f t="shared" si="32"/>
        <v>359735.82257030316</v>
      </c>
      <c r="BH24" s="276">
        <f t="shared" si="33"/>
        <v>148742</v>
      </c>
      <c r="BI24" s="276">
        <f t="shared" si="34"/>
        <v>61561.190270270265</v>
      </c>
      <c r="BJ24" s="276">
        <f t="shared" si="35"/>
        <v>1700181.5767214021</v>
      </c>
      <c r="BK24" s="276">
        <v>1551439.58</v>
      </c>
      <c r="BL24" s="119">
        <v>4878.7408100000002</v>
      </c>
      <c r="BM24" s="119">
        <v>4755.9257500000003</v>
      </c>
      <c r="BN24" s="228">
        <v>2.5823585344306271E-2</v>
      </c>
      <c r="BO24" s="228">
        <v>0</v>
      </c>
      <c r="BP24" s="119">
        <v>0</v>
      </c>
      <c r="BQ24" s="281">
        <f t="shared" si="36"/>
        <v>1700181.5767214021</v>
      </c>
      <c r="BR24" s="119">
        <v>-696.42</v>
      </c>
      <c r="BS24" s="119">
        <v>-403.86</v>
      </c>
      <c r="BT24" s="120">
        <f t="shared" si="37"/>
        <v>1699081.2967214021</v>
      </c>
      <c r="BU24" s="229"/>
      <c r="BV24" s="366">
        <f>VLOOKUP(B24,EYSFF!$A$4:$Z$61,23,0)</f>
        <v>321159.07816502627</v>
      </c>
      <c r="BW24" s="105">
        <f>VLOOKUP(B24,EYSFF!$A$4:$AA$61,24,0)</f>
        <v>0</v>
      </c>
      <c r="BX24" s="303"/>
      <c r="BY24" s="303"/>
      <c r="BZ24" s="107">
        <v>57541.666666666664</v>
      </c>
      <c r="CA24" s="273"/>
      <c r="CB24" s="314">
        <f t="shared" si="38"/>
        <v>71057.252396166135</v>
      </c>
      <c r="CC24" s="315">
        <v>0</v>
      </c>
      <c r="CD24" s="315">
        <v>2345</v>
      </c>
      <c r="CE24" s="303"/>
      <c r="CF24" s="303"/>
      <c r="CG24" s="315">
        <v>7496</v>
      </c>
      <c r="CH24" s="322">
        <v>99389</v>
      </c>
      <c r="CI24" s="105"/>
      <c r="CJ24" s="303"/>
      <c r="CK24" s="305"/>
    </row>
    <row r="25" spans="1:90" ht="14.5" thickBot="1" x14ac:dyDescent="0.3">
      <c r="A25" s="48">
        <v>3125202</v>
      </c>
      <c r="B25" s="135">
        <v>5202</v>
      </c>
      <c r="C25" s="98" t="s">
        <v>85</v>
      </c>
      <c r="D25" s="136">
        <v>380</v>
      </c>
      <c r="E25" s="136">
        <v>380</v>
      </c>
      <c r="F25" s="136">
        <v>0</v>
      </c>
      <c r="G25" s="136">
        <v>0</v>
      </c>
      <c r="H25" s="136">
        <v>0</v>
      </c>
      <c r="I25" s="136">
        <v>106.02469135802468</v>
      </c>
      <c r="J25" s="136">
        <v>0</v>
      </c>
      <c r="K25" s="136">
        <v>106.99999999999997</v>
      </c>
      <c r="L25" s="136">
        <v>42.999999999999957</v>
      </c>
      <c r="M25" s="136">
        <v>15.999999999999986</v>
      </c>
      <c r="N25" s="136">
        <v>0</v>
      </c>
      <c r="O25" s="136">
        <v>1.9999999999999993</v>
      </c>
      <c r="P25" s="136">
        <v>0</v>
      </c>
      <c r="Q25" s="136">
        <v>0</v>
      </c>
      <c r="R25" s="136">
        <v>0</v>
      </c>
      <c r="S25" s="136">
        <v>0</v>
      </c>
      <c r="T25" s="136">
        <v>0</v>
      </c>
      <c r="U25" s="136">
        <v>0</v>
      </c>
      <c r="V25" s="136">
        <v>0</v>
      </c>
      <c r="W25" s="136">
        <v>97.25593667546157</v>
      </c>
      <c r="X25" s="136">
        <v>0</v>
      </c>
      <c r="Y25" s="136">
        <v>123.72093023255816</v>
      </c>
      <c r="Z25" s="136">
        <v>0</v>
      </c>
      <c r="AA25" s="136">
        <v>1.1999999999999964</v>
      </c>
      <c r="AB25" s="136">
        <v>0</v>
      </c>
      <c r="AC25" s="226">
        <f t="shared" si="8"/>
        <v>1424048.5112497408</v>
      </c>
      <c r="AD25" s="226">
        <f t="shared" si="9"/>
        <v>0</v>
      </c>
      <c r="AE25" s="226">
        <f t="shared" si="10"/>
        <v>0</v>
      </c>
      <c r="AF25" s="226">
        <f t="shared" si="11"/>
        <v>117779.64888888887</v>
      </c>
      <c r="AG25" s="226">
        <f t="shared" si="12"/>
        <v>0</v>
      </c>
      <c r="AH25" s="118">
        <f t="shared" si="13"/>
        <v>11261.749999999996</v>
      </c>
      <c r="AI25" s="118">
        <f t="shared" si="14"/>
        <v>9051.4999999999909</v>
      </c>
      <c r="AJ25" s="118">
        <f t="shared" si="15"/>
        <v>5051.9999999999955</v>
      </c>
      <c r="AK25" s="118">
        <f t="shared" si="16"/>
        <v>0</v>
      </c>
      <c r="AL25" s="118">
        <f t="shared" si="17"/>
        <v>1052.4999999999995</v>
      </c>
      <c r="AM25" s="118">
        <f t="shared" si="18"/>
        <v>0</v>
      </c>
      <c r="AN25" s="118">
        <f t="shared" si="19"/>
        <v>0</v>
      </c>
      <c r="AO25" s="118">
        <f t="shared" si="20"/>
        <v>0</v>
      </c>
      <c r="AP25" s="118">
        <f t="shared" si="21"/>
        <v>0</v>
      </c>
      <c r="AQ25" s="118">
        <f t="shared" si="22"/>
        <v>0</v>
      </c>
      <c r="AR25" s="118">
        <f t="shared" si="23"/>
        <v>0</v>
      </c>
      <c r="AS25" s="118">
        <f t="shared" si="24"/>
        <v>0</v>
      </c>
      <c r="AT25" s="118">
        <f t="shared" si="25"/>
        <v>76997.525065962924</v>
      </c>
      <c r="AU25" s="118">
        <f t="shared" si="26"/>
        <v>0</v>
      </c>
      <c r="AV25" s="118">
        <f t="shared" si="27"/>
        <v>78192.865116279077</v>
      </c>
      <c r="AW25" s="118">
        <f t="shared" si="28"/>
        <v>0</v>
      </c>
      <c r="AX25" s="118">
        <f t="shared" si="29"/>
        <v>1186.9199999999964</v>
      </c>
      <c r="AY25" s="118">
        <f t="shared" si="30"/>
        <v>0</v>
      </c>
      <c r="AZ25" s="118">
        <v>140000</v>
      </c>
      <c r="BA25" s="118">
        <v>8246</v>
      </c>
      <c r="BB25" s="118">
        <v>496</v>
      </c>
      <c r="BC25" s="118"/>
      <c r="BD25" s="118"/>
      <c r="BE25" s="118"/>
      <c r="BF25" s="276">
        <f>AC25</f>
        <v>1424048.5112497408</v>
      </c>
      <c r="BG25" s="276">
        <f t="shared" si="32"/>
        <v>300574.70907113084</v>
      </c>
      <c r="BH25" s="276">
        <f t="shared" si="33"/>
        <v>148742</v>
      </c>
      <c r="BI25" s="276">
        <f t="shared" si="34"/>
        <v>78192.865116279077</v>
      </c>
      <c r="BJ25" s="276">
        <f t="shared" si="35"/>
        <v>1873365.2203208716</v>
      </c>
      <c r="BK25" s="276">
        <v>1724623.22</v>
      </c>
      <c r="BL25" s="119">
        <v>4538.4821599999996</v>
      </c>
      <c r="BM25" s="119">
        <v>4547.6455100000003</v>
      </c>
      <c r="BN25" s="228">
        <v>-2.0149653004842842E-3</v>
      </c>
      <c r="BO25" s="228">
        <v>7.0149653004842848E-3</v>
      </c>
      <c r="BP25" s="119">
        <v>12122.6</v>
      </c>
      <c r="BQ25" s="281">
        <f t="shared" si="36"/>
        <v>1885487.8203208717</v>
      </c>
      <c r="BR25" s="119">
        <v>-832.19999999999993</v>
      </c>
      <c r="BS25" s="119">
        <v>-482.6</v>
      </c>
      <c r="BT25" s="120">
        <f t="shared" si="37"/>
        <v>1884173.0203208716</v>
      </c>
      <c r="BU25" s="229"/>
      <c r="BV25" s="302"/>
      <c r="BW25" s="303"/>
      <c r="BX25" s="303"/>
      <c r="BY25" s="303"/>
      <c r="BZ25" s="107">
        <v>62700</v>
      </c>
      <c r="CA25" s="273"/>
      <c r="CB25" s="314">
        <f t="shared" si="38"/>
        <v>142603.2098765432</v>
      </c>
      <c r="CC25" s="315">
        <v>0</v>
      </c>
      <c r="CD25" s="315">
        <v>2345</v>
      </c>
      <c r="CE25" s="303"/>
      <c r="CF25" s="303"/>
      <c r="CG25" s="315">
        <v>8354</v>
      </c>
      <c r="CH25" s="322"/>
      <c r="CI25" s="105"/>
      <c r="CJ25" s="303"/>
      <c r="CK25" s="305"/>
    </row>
    <row r="26" spans="1:90" ht="14.5" thickBot="1" x14ac:dyDescent="0.3">
      <c r="A26" s="48">
        <v>3122024</v>
      </c>
      <c r="B26" s="135">
        <v>2024</v>
      </c>
      <c r="C26" s="98" t="s">
        <v>89</v>
      </c>
      <c r="D26" s="136">
        <v>193</v>
      </c>
      <c r="E26" s="136">
        <v>193</v>
      </c>
      <c r="F26" s="136">
        <v>0</v>
      </c>
      <c r="G26" s="136">
        <v>0</v>
      </c>
      <c r="H26" s="136">
        <v>0</v>
      </c>
      <c r="I26" s="136">
        <v>34.999999999999929</v>
      </c>
      <c r="J26" s="136">
        <v>0</v>
      </c>
      <c r="K26" s="136">
        <v>70.000000000000057</v>
      </c>
      <c r="L26" s="136">
        <v>44.999999999999993</v>
      </c>
      <c r="M26" s="136">
        <v>1.0000000000000004</v>
      </c>
      <c r="N26" s="136">
        <v>0</v>
      </c>
      <c r="O26" s="136">
        <v>0</v>
      </c>
      <c r="P26" s="136">
        <v>0</v>
      </c>
      <c r="Q26" s="136">
        <v>0</v>
      </c>
      <c r="R26" s="136">
        <v>0</v>
      </c>
      <c r="S26" s="136">
        <v>0</v>
      </c>
      <c r="T26" s="136">
        <v>0</v>
      </c>
      <c r="U26" s="136">
        <v>0</v>
      </c>
      <c r="V26" s="136">
        <v>0</v>
      </c>
      <c r="W26" s="136">
        <v>19.867647058823483</v>
      </c>
      <c r="X26" s="136">
        <v>0</v>
      </c>
      <c r="Y26" s="136">
        <v>96.5</v>
      </c>
      <c r="Z26" s="136">
        <v>0</v>
      </c>
      <c r="AA26" s="136">
        <v>0</v>
      </c>
      <c r="AB26" s="136">
        <v>0</v>
      </c>
      <c r="AC26" s="226">
        <f t="shared" si="8"/>
        <v>723266.74387157883</v>
      </c>
      <c r="AD26" s="226">
        <f t="shared" si="9"/>
        <v>0</v>
      </c>
      <c r="AE26" s="226">
        <f t="shared" si="10"/>
        <v>0</v>
      </c>
      <c r="AF26" s="226">
        <f t="shared" si="11"/>
        <v>38880.449999999917</v>
      </c>
      <c r="AG26" s="226">
        <f t="shared" si="12"/>
        <v>0</v>
      </c>
      <c r="AH26" s="118">
        <f t="shared" si="13"/>
        <v>7367.5000000000064</v>
      </c>
      <c r="AI26" s="118">
        <f t="shared" si="14"/>
        <v>9472.4999999999982</v>
      </c>
      <c r="AJ26" s="118">
        <f t="shared" si="15"/>
        <v>315.75000000000011</v>
      </c>
      <c r="AK26" s="118">
        <f t="shared" si="16"/>
        <v>0</v>
      </c>
      <c r="AL26" s="118">
        <f t="shared" si="17"/>
        <v>0</v>
      </c>
      <c r="AM26" s="118">
        <f t="shared" si="18"/>
        <v>0</v>
      </c>
      <c r="AN26" s="118">
        <f t="shared" si="19"/>
        <v>0</v>
      </c>
      <c r="AO26" s="118">
        <f t="shared" si="20"/>
        <v>0</v>
      </c>
      <c r="AP26" s="118">
        <f t="shared" si="21"/>
        <v>0</v>
      </c>
      <c r="AQ26" s="118">
        <f t="shared" si="22"/>
        <v>0</v>
      </c>
      <c r="AR26" s="118">
        <f t="shared" si="23"/>
        <v>0</v>
      </c>
      <c r="AS26" s="118">
        <f t="shared" si="24"/>
        <v>0</v>
      </c>
      <c r="AT26" s="118">
        <f t="shared" si="25"/>
        <v>15729.216176470552</v>
      </c>
      <c r="AU26" s="118">
        <f t="shared" si="26"/>
        <v>0</v>
      </c>
      <c r="AV26" s="118">
        <f t="shared" si="27"/>
        <v>60988.964999999997</v>
      </c>
      <c r="AW26" s="118">
        <f t="shared" si="28"/>
        <v>0</v>
      </c>
      <c r="AX26" s="118">
        <f t="shared" si="29"/>
        <v>0</v>
      </c>
      <c r="AY26" s="118">
        <f t="shared" si="30"/>
        <v>0</v>
      </c>
      <c r="AZ26" s="118">
        <v>140000</v>
      </c>
      <c r="BA26" s="118">
        <v>23079</v>
      </c>
      <c r="BB26" s="118">
        <v>879</v>
      </c>
      <c r="BC26" s="118"/>
      <c r="BD26" s="118"/>
      <c r="BE26" s="118"/>
      <c r="BF26" s="276">
        <f t="shared" ref="BF26:BF74" si="39">AC26</f>
        <v>723266.74387157883</v>
      </c>
      <c r="BG26" s="276">
        <f t="shared" si="32"/>
        <v>132754.38117647049</v>
      </c>
      <c r="BH26" s="276">
        <f t="shared" si="33"/>
        <v>163958</v>
      </c>
      <c r="BI26" s="276">
        <f t="shared" si="34"/>
        <v>60988.964999999997</v>
      </c>
      <c r="BJ26" s="276">
        <f t="shared" si="35"/>
        <v>1019979.1250480493</v>
      </c>
      <c r="BK26" s="276">
        <v>856021.13</v>
      </c>
      <c r="BL26" s="119">
        <v>4435.3426200000004</v>
      </c>
      <c r="BM26" s="119">
        <v>4111.4784499999996</v>
      </c>
      <c r="BN26" s="228">
        <v>7.8770731500889299E-2</v>
      </c>
      <c r="BO26" s="228">
        <v>0</v>
      </c>
      <c r="BP26" s="119">
        <v>0</v>
      </c>
      <c r="BQ26" s="281">
        <f t="shared" si="36"/>
        <v>1019979.1250480493</v>
      </c>
      <c r="BR26" s="119">
        <v>-422.67</v>
      </c>
      <c r="BS26" s="119">
        <v>-245.11</v>
      </c>
      <c r="BT26" s="120">
        <f t="shared" si="37"/>
        <v>1019311.3450480492</v>
      </c>
      <c r="BU26" s="131"/>
      <c r="BV26" s="366">
        <f>VLOOKUP(B26,EYSFF!$A$4:$Z$61,23,0)</f>
        <v>132526.3309373096</v>
      </c>
      <c r="BW26" s="105">
        <f>VLOOKUP(B26,EYSFF!$A$4:$AA$61,24,0)</f>
        <v>55091.591010457982</v>
      </c>
      <c r="BX26" s="303"/>
      <c r="BY26" s="303"/>
      <c r="BZ26" s="107">
        <v>27666.666666666668</v>
      </c>
      <c r="CA26" s="273"/>
      <c r="CB26" s="314">
        <f t="shared" si="38"/>
        <v>47074.999999999905</v>
      </c>
      <c r="CC26" s="315">
        <v>0</v>
      </c>
      <c r="CD26" s="315">
        <v>2345</v>
      </c>
      <c r="CE26" s="303"/>
      <c r="CF26" s="303"/>
      <c r="CG26" s="315">
        <v>7229</v>
      </c>
      <c r="CH26" s="322">
        <v>69581</v>
      </c>
      <c r="CI26" s="105"/>
      <c r="CJ26" s="303"/>
      <c r="CK26" s="305"/>
      <c r="CL26" s="2"/>
    </row>
    <row r="27" spans="1:90" ht="14.5" thickBot="1" x14ac:dyDescent="0.3">
      <c r="A27" s="48">
        <v>3122023</v>
      </c>
      <c r="B27" s="135">
        <v>2023</v>
      </c>
      <c r="C27" s="98" t="s">
        <v>91</v>
      </c>
      <c r="D27" s="136">
        <v>272</v>
      </c>
      <c r="E27" s="136">
        <v>272</v>
      </c>
      <c r="F27" s="136">
        <v>0</v>
      </c>
      <c r="G27" s="136">
        <v>0</v>
      </c>
      <c r="H27" s="136">
        <v>0</v>
      </c>
      <c r="I27" s="136">
        <v>58.494623655913976</v>
      </c>
      <c r="J27" s="136">
        <v>0</v>
      </c>
      <c r="K27" s="136">
        <v>91.000000000000071</v>
      </c>
      <c r="L27" s="136">
        <v>38.999999999999872</v>
      </c>
      <c r="M27" s="136">
        <v>0.99999999999999889</v>
      </c>
      <c r="N27" s="136">
        <v>0</v>
      </c>
      <c r="O27" s="136">
        <v>0</v>
      </c>
      <c r="P27" s="136">
        <v>0</v>
      </c>
      <c r="Q27" s="136">
        <v>0</v>
      </c>
      <c r="R27" s="136">
        <v>0</v>
      </c>
      <c r="S27" s="136">
        <v>0</v>
      </c>
      <c r="T27" s="136">
        <v>0</v>
      </c>
      <c r="U27" s="136">
        <v>0</v>
      </c>
      <c r="V27" s="136">
        <v>0</v>
      </c>
      <c r="W27" s="136">
        <v>15.055350553505546</v>
      </c>
      <c r="X27" s="136">
        <v>0</v>
      </c>
      <c r="Y27" s="136">
        <v>79.814671814671826</v>
      </c>
      <c r="Z27" s="136">
        <v>0</v>
      </c>
      <c r="AA27" s="136">
        <v>0</v>
      </c>
      <c r="AB27" s="136">
        <v>0</v>
      </c>
      <c r="AC27" s="226">
        <f t="shared" si="8"/>
        <v>1019318.9343682355</v>
      </c>
      <c r="AD27" s="226">
        <f t="shared" si="9"/>
        <v>0</v>
      </c>
      <c r="AE27" s="226">
        <f t="shared" si="10"/>
        <v>0</v>
      </c>
      <c r="AF27" s="226">
        <f t="shared" si="11"/>
        <v>64979.92258064515</v>
      </c>
      <c r="AG27" s="226">
        <f t="shared" si="12"/>
        <v>0</v>
      </c>
      <c r="AH27" s="118">
        <f t="shared" si="13"/>
        <v>9577.7500000000073</v>
      </c>
      <c r="AI27" s="118">
        <f t="shared" si="14"/>
        <v>8209.4999999999727</v>
      </c>
      <c r="AJ27" s="118">
        <f t="shared" si="15"/>
        <v>315.74999999999966</v>
      </c>
      <c r="AK27" s="118">
        <f t="shared" si="16"/>
        <v>0</v>
      </c>
      <c r="AL27" s="118">
        <f t="shared" si="17"/>
        <v>0</v>
      </c>
      <c r="AM27" s="118">
        <f t="shared" si="18"/>
        <v>0</v>
      </c>
      <c r="AN27" s="118">
        <f t="shared" si="19"/>
        <v>0</v>
      </c>
      <c r="AO27" s="118">
        <f t="shared" si="20"/>
        <v>0</v>
      </c>
      <c r="AP27" s="118">
        <f t="shared" si="21"/>
        <v>0</v>
      </c>
      <c r="AQ27" s="118">
        <f t="shared" si="22"/>
        <v>0</v>
      </c>
      <c r="AR27" s="118">
        <f t="shared" si="23"/>
        <v>0</v>
      </c>
      <c r="AS27" s="118">
        <f t="shared" si="24"/>
        <v>0</v>
      </c>
      <c r="AT27" s="118">
        <f t="shared" si="25"/>
        <v>11919.321033210341</v>
      </c>
      <c r="AU27" s="118">
        <f t="shared" si="26"/>
        <v>0</v>
      </c>
      <c r="AV27" s="118">
        <f t="shared" si="27"/>
        <v>50443.670733590741</v>
      </c>
      <c r="AW27" s="118">
        <f t="shared" si="28"/>
        <v>0</v>
      </c>
      <c r="AX27" s="118">
        <f t="shared" si="29"/>
        <v>0</v>
      </c>
      <c r="AY27" s="118">
        <f t="shared" si="30"/>
        <v>0</v>
      </c>
      <c r="AZ27" s="118">
        <v>140000</v>
      </c>
      <c r="BA27" s="118">
        <v>49210</v>
      </c>
      <c r="BB27" s="118">
        <v>2960</v>
      </c>
      <c r="BC27" s="118"/>
      <c r="BD27" s="118"/>
      <c r="BE27" s="118"/>
      <c r="BF27" s="276">
        <f t="shared" si="39"/>
        <v>1019318.9343682355</v>
      </c>
      <c r="BG27" s="276">
        <f t="shared" si="32"/>
        <v>145445.91434744623</v>
      </c>
      <c r="BH27" s="276">
        <f t="shared" si="33"/>
        <v>192170</v>
      </c>
      <c r="BI27" s="276">
        <f t="shared" si="34"/>
        <v>50443.670733590741</v>
      </c>
      <c r="BJ27" s="276">
        <f t="shared" si="35"/>
        <v>1356934.8487156818</v>
      </c>
      <c r="BK27" s="276">
        <v>1164764.8500000001</v>
      </c>
      <c r="BL27" s="119">
        <v>4282.2237100000002</v>
      </c>
      <c r="BM27" s="119">
        <v>4161.2318800000003</v>
      </c>
      <c r="BN27" s="228">
        <v>2.9075965059321345E-2</v>
      </c>
      <c r="BO27" s="228">
        <v>0</v>
      </c>
      <c r="BP27" s="119">
        <v>0</v>
      </c>
      <c r="BQ27" s="281">
        <f t="shared" si="36"/>
        <v>1356934.8487156818</v>
      </c>
      <c r="BR27" s="119">
        <v>-595.67999999999995</v>
      </c>
      <c r="BS27" s="119">
        <v>-345.44</v>
      </c>
      <c r="BT27" s="120">
        <f t="shared" si="37"/>
        <v>1355993.7287156819</v>
      </c>
      <c r="BU27" s="131"/>
      <c r="BV27" s="302"/>
      <c r="BW27" s="303"/>
      <c r="BX27" s="303"/>
      <c r="BY27" s="303"/>
      <c r="BZ27" s="107">
        <v>43100</v>
      </c>
      <c r="CA27" s="273"/>
      <c r="CB27" s="314">
        <f t="shared" si="38"/>
        <v>78675.268817204298</v>
      </c>
      <c r="CC27" s="315">
        <v>310</v>
      </c>
      <c r="CD27" s="315">
        <v>2345</v>
      </c>
      <c r="CE27" s="303"/>
      <c r="CF27" s="303"/>
      <c r="CG27" s="315">
        <v>7829</v>
      </c>
      <c r="CH27" s="303"/>
      <c r="CI27" s="105"/>
      <c r="CJ27" s="303"/>
      <c r="CK27" s="305"/>
      <c r="CL27" s="2"/>
    </row>
    <row r="28" spans="1:90" ht="14.5" thickBot="1" x14ac:dyDescent="0.3">
      <c r="A28" s="48">
        <v>3122025</v>
      </c>
      <c r="B28" s="135">
        <v>2025</v>
      </c>
      <c r="C28" s="98" t="s">
        <v>94</v>
      </c>
      <c r="D28" s="136">
        <v>508</v>
      </c>
      <c r="E28" s="136">
        <v>508</v>
      </c>
      <c r="F28" s="136">
        <v>0</v>
      </c>
      <c r="G28" s="136">
        <v>0</v>
      </c>
      <c r="H28" s="136">
        <v>0</v>
      </c>
      <c r="I28" s="136">
        <v>57.452380952380956</v>
      </c>
      <c r="J28" s="136">
        <v>0</v>
      </c>
      <c r="K28" s="136">
        <v>77.304347826086826</v>
      </c>
      <c r="L28" s="136">
        <v>2.0079051383399187</v>
      </c>
      <c r="M28" s="136">
        <v>19.075098814229246</v>
      </c>
      <c r="N28" s="136">
        <v>0</v>
      </c>
      <c r="O28" s="136">
        <v>1.003952569169962</v>
      </c>
      <c r="P28" s="136">
        <v>0</v>
      </c>
      <c r="Q28" s="136">
        <v>0</v>
      </c>
      <c r="R28" s="136">
        <v>0</v>
      </c>
      <c r="S28" s="136">
        <v>0</v>
      </c>
      <c r="T28" s="136">
        <v>0</v>
      </c>
      <c r="U28" s="136">
        <v>0</v>
      </c>
      <c r="V28" s="136">
        <v>0</v>
      </c>
      <c r="W28" s="136">
        <v>109.43310657596379</v>
      </c>
      <c r="X28" s="136">
        <v>0</v>
      </c>
      <c r="Y28" s="136">
        <v>171.04810126582279</v>
      </c>
      <c r="Z28" s="136">
        <v>0</v>
      </c>
      <c r="AA28" s="136">
        <v>0</v>
      </c>
      <c r="AB28" s="136">
        <v>0</v>
      </c>
      <c r="AC28" s="226">
        <f t="shared" si="8"/>
        <v>1903728.0097759692</v>
      </c>
      <c r="AD28" s="226">
        <f t="shared" si="9"/>
        <v>0</v>
      </c>
      <c r="AE28" s="226">
        <f t="shared" si="10"/>
        <v>0</v>
      </c>
      <c r="AF28" s="226">
        <f t="shared" si="11"/>
        <v>63822.126428571428</v>
      </c>
      <c r="AG28" s="226">
        <f t="shared" si="12"/>
        <v>0</v>
      </c>
      <c r="AH28" s="118">
        <f t="shared" si="13"/>
        <v>8136.2826086956384</v>
      </c>
      <c r="AI28" s="118">
        <f t="shared" si="14"/>
        <v>422.66403162055286</v>
      </c>
      <c r="AJ28" s="118">
        <f t="shared" si="15"/>
        <v>6022.9624505928841</v>
      </c>
      <c r="AK28" s="118">
        <f t="shared" si="16"/>
        <v>0</v>
      </c>
      <c r="AL28" s="118">
        <f t="shared" si="17"/>
        <v>528.33003952569254</v>
      </c>
      <c r="AM28" s="118">
        <f t="shared" si="18"/>
        <v>0</v>
      </c>
      <c r="AN28" s="118">
        <f t="shared" si="19"/>
        <v>0</v>
      </c>
      <c r="AO28" s="118">
        <f t="shared" si="20"/>
        <v>0</v>
      </c>
      <c r="AP28" s="118">
        <f t="shared" si="21"/>
        <v>0</v>
      </c>
      <c r="AQ28" s="118">
        <f t="shared" si="22"/>
        <v>0</v>
      </c>
      <c r="AR28" s="118">
        <f t="shared" si="23"/>
        <v>0</v>
      </c>
      <c r="AS28" s="118">
        <f t="shared" si="24"/>
        <v>0</v>
      </c>
      <c r="AT28" s="118">
        <f t="shared" si="25"/>
        <v>86638.190476190532</v>
      </c>
      <c r="AU28" s="118">
        <f t="shared" si="26"/>
        <v>0</v>
      </c>
      <c r="AV28" s="118">
        <f t="shared" si="27"/>
        <v>108104.11048101266</v>
      </c>
      <c r="AW28" s="118">
        <f t="shared" si="28"/>
        <v>0</v>
      </c>
      <c r="AX28" s="118">
        <f t="shared" si="29"/>
        <v>0</v>
      </c>
      <c r="AY28" s="118">
        <f t="shared" si="30"/>
        <v>0</v>
      </c>
      <c r="AZ28" s="118">
        <v>140000</v>
      </c>
      <c r="BA28" s="118">
        <v>67564</v>
      </c>
      <c r="BB28" s="118">
        <v>4064</v>
      </c>
      <c r="BC28" s="118"/>
      <c r="BD28" s="118"/>
      <c r="BE28" s="118"/>
      <c r="BF28" s="276">
        <f t="shared" si="39"/>
        <v>1903728.0097759692</v>
      </c>
      <c r="BG28" s="276">
        <f t="shared" si="32"/>
        <v>273674.66651620937</v>
      </c>
      <c r="BH28" s="276">
        <f t="shared" si="33"/>
        <v>211628</v>
      </c>
      <c r="BI28" s="276">
        <f t="shared" si="34"/>
        <v>108104.11048101266</v>
      </c>
      <c r="BJ28" s="276">
        <f t="shared" si="35"/>
        <v>2389030.6762921787</v>
      </c>
      <c r="BK28" s="276">
        <v>2177402.6800000002</v>
      </c>
      <c r="BL28" s="119">
        <v>4286.2257399999999</v>
      </c>
      <c r="BM28" s="119">
        <v>4227.6916099999999</v>
      </c>
      <c r="BN28" s="228">
        <v>1.3845411593655177E-2</v>
      </c>
      <c r="BO28" s="228">
        <v>0</v>
      </c>
      <c r="BP28" s="119">
        <v>0</v>
      </c>
      <c r="BQ28" s="281">
        <f t="shared" si="36"/>
        <v>2389030.6762921787</v>
      </c>
      <c r="BR28" s="119">
        <v>-1112.52</v>
      </c>
      <c r="BS28" s="119">
        <v>-645.16</v>
      </c>
      <c r="BT28" s="120">
        <f t="shared" si="37"/>
        <v>2387272.9962921785</v>
      </c>
      <c r="BU28" s="229"/>
      <c r="BV28" s="366">
        <f>VLOOKUP(B28,EYSFF!$A$4:$Z$61,23,0)</f>
        <v>131776.34686648389</v>
      </c>
      <c r="BW28" s="105">
        <f>VLOOKUP(B28,EYSFF!$A$4:$AA$61,24,0)</f>
        <v>0</v>
      </c>
      <c r="BX28" s="303"/>
      <c r="BY28" s="303"/>
      <c r="BZ28" s="107">
        <v>116041.66666666667</v>
      </c>
      <c r="CA28" s="273"/>
      <c r="CB28" s="314">
        <f t="shared" si="38"/>
        <v>77273.452380952382</v>
      </c>
      <c r="CC28" s="315">
        <v>2790</v>
      </c>
      <c r="CD28" s="315">
        <v>4690</v>
      </c>
      <c r="CE28" s="303"/>
      <c r="CF28" s="303"/>
      <c r="CG28" s="315">
        <v>8525</v>
      </c>
      <c r="CH28" s="322">
        <v>51351</v>
      </c>
      <c r="CI28" s="105"/>
      <c r="CJ28" s="303"/>
      <c r="CK28" s="305"/>
      <c r="CL28" s="2"/>
    </row>
    <row r="29" spans="1:90" ht="14.5" thickBot="1" x14ac:dyDescent="0.3">
      <c r="A29" s="48">
        <v>3122026</v>
      </c>
      <c r="B29" s="135">
        <v>2026</v>
      </c>
      <c r="C29" s="98" t="s">
        <v>96</v>
      </c>
      <c r="D29" s="136">
        <v>185</v>
      </c>
      <c r="E29" s="136">
        <v>185</v>
      </c>
      <c r="F29" s="136">
        <v>0</v>
      </c>
      <c r="G29" s="136">
        <v>0</v>
      </c>
      <c r="H29" s="136">
        <v>0</v>
      </c>
      <c r="I29" s="136">
        <v>44.362244897959179</v>
      </c>
      <c r="J29" s="136">
        <v>0</v>
      </c>
      <c r="K29" s="136">
        <v>91.000000000000014</v>
      </c>
      <c r="L29" s="136">
        <v>46.999999999999993</v>
      </c>
      <c r="M29" s="136">
        <v>0</v>
      </c>
      <c r="N29" s="136">
        <v>16.000000000000004</v>
      </c>
      <c r="O29" s="136">
        <v>0</v>
      </c>
      <c r="P29" s="136">
        <v>0</v>
      </c>
      <c r="Q29" s="136">
        <v>0</v>
      </c>
      <c r="R29" s="136">
        <v>0</v>
      </c>
      <c r="S29" s="136">
        <v>0</v>
      </c>
      <c r="T29" s="136">
        <v>0</v>
      </c>
      <c r="U29" s="136">
        <v>0</v>
      </c>
      <c r="V29" s="136">
        <v>0</v>
      </c>
      <c r="W29" s="136">
        <v>50.559006211180218</v>
      </c>
      <c r="X29" s="136">
        <v>0</v>
      </c>
      <c r="Y29" s="136">
        <v>45.633333333333333</v>
      </c>
      <c r="Z29" s="136">
        <v>0</v>
      </c>
      <c r="AA29" s="136">
        <v>0</v>
      </c>
      <c r="AB29" s="136">
        <v>0</v>
      </c>
      <c r="AC29" s="226">
        <f t="shared" si="8"/>
        <v>693286.77521368954</v>
      </c>
      <c r="AD29" s="226">
        <f t="shared" si="9"/>
        <v>0</v>
      </c>
      <c r="AE29" s="226">
        <f t="shared" si="10"/>
        <v>0</v>
      </c>
      <c r="AF29" s="226">
        <f t="shared" si="11"/>
        <v>49280.686989795911</v>
      </c>
      <c r="AG29" s="226">
        <f t="shared" si="12"/>
        <v>0</v>
      </c>
      <c r="AH29" s="118">
        <f t="shared" si="13"/>
        <v>9577.7500000000018</v>
      </c>
      <c r="AI29" s="118">
        <f t="shared" si="14"/>
        <v>9893.4999999999982</v>
      </c>
      <c r="AJ29" s="118">
        <f t="shared" si="15"/>
        <v>0</v>
      </c>
      <c r="AK29" s="118">
        <f t="shared" si="16"/>
        <v>6736.0000000000018</v>
      </c>
      <c r="AL29" s="118">
        <f t="shared" si="17"/>
        <v>0</v>
      </c>
      <c r="AM29" s="118">
        <f t="shared" si="18"/>
        <v>0</v>
      </c>
      <c r="AN29" s="118">
        <f t="shared" si="19"/>
        <v>0</v>
      </c>
      <c r="AO29" s="118">
        <f t="shared" si="20"/>
        <v>0</v>
      </c>
      <c r="AP29" s="118">
        <f t="shared" si="21"/>
        <v>0</v>
      </c>
      <c r="AQ29" s="118">
        <f t="shared" si="22"/>
        <v>0</v>
      </c>
      <c r="AR29" s="118">
        <f t="shared" si="23"/>
        <v>0</v>
      </c>
      <c r="AS29" s="118">
        <f t="shared" si="24"/>
        <v>0</v>
      </c>
      <c r="AT29" s="118">
        <f t="shared" si="25"/>
        <v>40027.565217391384</v>
      </c>
      <c r="AU29" s="118">
        <f t="shared" si="26"/>
        <v>0</v>
      </c>
      <c r="AV29" s="118">
        <f t="shared" si="27"/>
        <v>28840.722999999998</v>
      </c>
      <c r="AW29" s="118">
        <f t="shared" si="28"/>
        <v>0</v>
      </c>
      <c r="AX29" s="118">
        <f t="shared" si="29"/>
        <v>0</v>
      </c>
      <c r="AY29" s="118">
        <f t="shared" si="30"/>
        <v>0</v>
      </c>
      <c r="AZ29" s="118">
        <v>140000</v>
      </c>
      <c r="BA29" s="118">
        <v>16966</v>
      </c>
      <c r="BB29" s="118">
        <v>646</v>
      </c>
      <c r="BC29" s="118"/>
      <c r="BD29" s="118"/>
      <c r="BE29" s="118"/>
      <c r="BF29" s="276">
        <f t="shared" si="39"/>
        <v>693286.77521368954</v>
      </c>
      <c r="BG29" s="276">
        <f t="shared" si="32"/>
        <v>144356.22520718729</v>
      </c>
      <c r="BH29" s="276">
        <f t="shared" si="33"/>
        <v>157612</v>
      </c>
      <c r="BI29" s="276">
        <f t="shared" si="34"/>
        <v>28840.722999999998</v>
      </c>
      <c r="BJ29" s="276">
        <f t="shared" si="35"/>
        <v>995255.00042087678</v>
      </c>
      <c r="BK29" s="276">
        <v>837643</v>
      </c>
      <c r="BL29" s="119">
        <v>4527.8</v>
      </c>
      <c r="BM29" s="119">
        <v>4372.7192400000004</v>
      </c>
      <c r="BN29" s="228">
        <v>3.5465520287742407E-2</v>
      </c>
      <c r="BO29" s="228">
        <v>0</v>
      </c>
      <c r="BP29" s="119">
        <v>0</v>
      </c>
      <c r="BQ29" s="281">
        <f t="shared" si="36"/>
        <v>995255.00042087678</v>
      </c>
      <c r="BR29" s="119">
        <v>-405.15</v>
      </c>
      <c r="BS29" s="119">
        <v>-234.95000000000002</v>
      </c>
      <c r="BT29" s="120">
        <f t="shared" si="37"/>
        <v>994614.9004208768</v>
      </c>
      <c r="BU29" s="229"/>
      <c r="BV29" s="366">
        <f>VLOOKUP(B29,EYSFF!$A$4:$Z$61,23,0)</f>
        <v>66662.757253811171</v>
      </c>
      <c r="BW29" s="105">
        <f>VLOOKUP(B29,EYSFF!$A$4:$AA$61,24,0)</f>
        <v>0</v>
      </c>
      <c r="BX29" s="303"/>
      <c r="BY29" s="303"/>
      <c r="BZ29" s="107">
        <v>71733.333333333343</v>
      </c>
      <c r="CA29" s="273"/>
      <c r="CB29" s="314">
        <f t="shared" si="38"/>
        <v>59667.219387755096</v>
      </c>
      <c r="CC29" s="315">
        <v>0</v>
      </c>
      <c r="CD29" s="315">
        <v>4690</v>
      </c>
      <c r="CE29" s="303"/>
      <c r="CF29" s="303"/>
      <c r="CG29" s="315">
        <v>7371</v>
      </c>
      <c r="CH29" s="322">
        <v>25788</v>
      </c>
      <c r="CI29" s="105"/>
      <c r="CJ29" s="303"/>
      <c r="CK29" s="305"/>
      <c r="CL29" s="2"/>
    </row>
    <row r="30" spans="1:90" ht="14.5" thickBot="1" x14ac:dyDescent="0.3">
      <c r="A30" s="48">
        <v>3125211</v>
      </c>
      <c r="B30" s="135">
        <v>5211</v>
      </c>
      <c r="C30" s="98" t="s">
        <v>100</v>
      </c>
      <c r="D30" s="136">
        <v>620</v>
      </c>
      <c r="E30" s="136">
        <v>620</v>
      </c>
      <c r="F30" s="136">
        <v>0</v>
      </c>
      <c r="G30" s="136">
        <v>0</v>
      </c>
      <c r="H30" s="136">
        <v>0</v>
      </c>
      <c r="I30" s="136">
        <v>104.96835443037973</v>
      </c>
      <c r="J30" s="136">
        <v>0</v>
      </c>
      <c r="K30" s="136">
        <v>110.99999999999993</v>
      </c>
      <c r="L30" s="136">
        <v>40.000000000000021</v>
      </c>
      <c r="M30" s="136">
        <v>17.999999999999982</v>
      </c>
      <c r="N30" s="136">
        <v>0.99999999999999911</v>
      </c>
      <c r="O30" s="136">
        <v>0</v>
      </c>
      <c r="P30" s="136">
        <v>0</v>
      </c>
      <c r="Q30" s="136">
        <v>0</v>
      </c>
      <c r="R30" s="136">
        <v>0</v>
      </c>
      <c r="S30" s="136">
        <v>0</v>
      </c>
      <c r="T30" s="136">
        <v>0</v>
      </c>
      <c r="U30" s="136">
        <v>0</v>
      </c>
      <c r="V30" s="136">
        <v>0</v>
      </c>
      <c r="W30" s="136">
        <v>202.42537313432845</v>
      </c>
      <c r="X30" s="136">
        <v>0</v>
      </c>
      <c r="Y30" s="136">
        <v>171.36276391554702</v>
      </c>
      <c r="Z30" s="136">
        <v>0</v>
      </c>
      <c r="AA30" s="136">
        <v>0</v>
      </c>
      <c r="AB30" s="136">
        <v>0</v>
      </c>
      <c r="AC30" s="226">
        <f t="shared" si="8"/>
        <v>2323447.570986419</v>
      </c>
      <c r="AD30" s="226">
        <f t="shared" si="9"/>
        <v>0</v>
      </c>
      <c r="AE30" s="226">
        <f t="shared" si="10"/>
        <v>0</v>
      </c>
      <c r="AF30" s="226">
        <f t="shared" si="11"/>
        <v>116606.19588607592</v>
      </c>
      <c r="AG30" s="226">
        <f t="shared" si="12"/>
        <v>0</v>
      </c>
      <c r="AH30" s="118">
        <f t="shared" si="13"/>
        <v>11682.749999999993</v>
      </c>
      <c r="AI30" s="118">
        <f t="shared" si="14"/>
        <v>8420.0000000000036</v>
      </c>
      <c r="AJ30" s="118">
        <f t="shared" si="15"/>
        <v>5683.4999999999945</v>
      </c>
      <c r="AK30" s="118">
        <f t="shared" si="16"/>
        <v>420.9999999999996</v>
      </c>
      <c r="AL30" s="118">
        <f t="shared" si="17"/>
        <v>0</v>
      </c>
      <c r="AM30" s="118">
        <f t="shared" si="18"/>
        <v>0</v>
      </c>
      <c r="AN30" s="118">
        <f t="shared" si="19"/>
        <v>0</v>
      </c>
      <c r="AO30" s="118">
        <f t="shared" si="20"/>
        <v>0</v>
      </c>
      <c r="AP30" s="118">
        <f t="shared" si="21"/>
        <v>0</v>
      </c>
      <c r="AQ30" s="118">
        <f t="shared" si="22"/>
        <v>0</v>
      </c>
      <c r="AR30" s="118">
        <f t="shared" si="23"/>
        <v>0</v>
      </c>
      <c r="AS30" s="118">
        <f t="shared" si="24"/>
        <v>0</v>
      </c>
      <c r="AT30" s="118">
        <f t="shared" si="25"/>
        <v>160260.16791044784</v>
      </c>
      <c r="AU30" s="118">
        <f t="shared" si="26"/>
        <v>0</v>
      </c>
      <c r="AV30" s="118">
        <f t="shared" si="27"/>
        <v>108302.98042226487</v>
      </c>
      <c r="AW30" s="118">
        <f t="shared" si="28"/>
        <v>0</v>
      </c>
      <c r="AX30" s="118">
        <f t="shared" si="29"/>
        <v>0</v>
      </c>
      <c r="AY30" s="118">
        <f t="shared" si="30"/>
        <v>0</v>
      </c>
      <c r="AZ30" s="118">
        <v>140000</v>
      </c>
      <c r="BA30" s="118">
        <v>12236</v>
      </c>
      <c r="BB30" s="118">
        <v>736</v>
      </c>
      <c r="BC30" s="118"/>
      <c r="BD30" s="118"/>
      <c r="BE30" s="118"/>
      <c r="BF30" s="276">
        <f t="shared" si="39"/>
        <v>2323447.570986419</v>
      </c>
      <c r="BG30" s="276">
        <f t="shared" si="32"/>
        <v>411376.59421878867</v>
      </c>
      <c r="BH30" s="276">
        <f t="shared" si="33"/>
        <v>152972</v>
      </c>
      <c r="BI30" s="276">
        <f t="shared" si="34"/>
        <v>108302.98042226487</v>
      </c>
      <c r="BJ30" s="276">
        <f t="shared" si="35"/>
        <v>2887796.1652052077</v>
      </c>
      <c r="BK30" s="276">
        <v>2734824.17</v>
      </c>
      <c r="BL30" s="119">
        <v>4411.0067200000003</v>
      </c>
      <c r="BM30" s="119">
        <v>4334.6806299999998</v>
      </c>
      <c r="BN30" s="228">
        <v>1.7608237612791598E-2</v>
      </c>
      <c r="BO30" s="228">
        <v>0</v>
      </c>
      <c r="BP30" s="119">
        <v>0</v>
      </c>
      <c r="BQ30" s="281">
        <f t="shared" si="36"/>
        <v>2887796.1652052077</v>
      </c>
      <c r="BR30" s="119">
        <v>-1357.8</v>
      </c>
      <c r="BS30" s="119">
        <v>-787.4</v>
      </c>
      <c r="BT30" s="120">
        <f t="shared" si="37"/>
        <v>2885650.9652052079</v>
      </c>
      <c r="BU30" s="229"/>
      <c r="BV30" s="366">
        <f>VLOOKUP(B30,EYSFF!$A$4:$Z$61,23,0)</f>
        <v>204925.31289491008</v>
      </c>
      <c r="BW30" s="105">
        <f>VLOOKUP(B30,EYSFF!$A$4:$AA$61,24,0)</f>
        <v>44191.598451920639</v>
      </c>
      <c r="BX30" s="303"/>
      <c r="BY30" s="303"/>
      <c r="BZ30" s="107">
        <v>83441.666666666672</v>
      </c>
      <c r="CA30" s="273"/>
      <c r="CB30" s="314">
        <f t="shared" si="38"/>
        <v>141182.43670886074</v>
      </c>
      <c r="CC30" s="315">
        <v>0</v>
      </c>
      <c r="CD30" s="315">
        <v>14070</v>
      </c>
      <c r="CE30" s="303"/>
      <c r="CF30" s="303"/>
      <c r="CG30" s="315">
        <v>8925</v>
      </c>
      <c r="CH30" s="322">
        <v>81140</v>
      </c>
      <c r="CI30" s="105"/>
      <c r="CJ30" s="303"/>
      <c r="CK30" s="305"/>
    </row>
    <row r="31" spans="1:90" ht="14.5" thickBot="1" x14ac:dyDescent="0.3">
      <c r="A31" s="48">
        <v>3122029</v>
      </c>
      <c r="B31" s="135">
        <v>2029</v>
      </c>
      <c r="C31" s="98" t="s">
        <v>104</v>
      </c>
      <c r="D31" s="136">
        <v>388</v>
      </c>
      <c r="E31" s="136">
        <v>388</v>
      </c>
      <c r="F31" s="136">
        <v>0</v>
      </c>
      <c r="G31" s="136">
        <v>0</v>
      </c>
      <c r="H31" s="136">
        <v>0</v>
      </c>
      <c r="I31" s="136">
        <v>56.010498687664047</v>
      </c>
      <c r="J31" s="136">
        <v>0</v>
      </c>
      <c r="K31" s="136">
        <v>126.32558139534876</v>
      </c>
      <c r="L31" s="136">
        <v>117.30232558139541</v>
      </c>
      <c r="M31" s="136">
        <v>4.0103359173126618</v>
      </c>
      <c r="N31" s="136">
        <v>1.0025839793281635</v>
      </c>
      <c r="O31" s="136">
        <v>0</v>
      </c>
      <c r="P31" s="136">
        <v>0</v>
      </c>
      <c r="Q31" s="136">
        <v>0</v>
      </c>
      <c r="R31" s="136">
        <v>0</v>
      </c>
      <c r="S31" s="136">
        <v>0</v>
      </c>
      <c r="T31" s="136">
        <v>0</v>
      </c>
      <c r="U31" s="136">
        <v>0</v>
      </c>
      <c r="V31" s="136">
        <v>0</v>
      </c>
      <c r="W31" s="136">
        <v>97.293051359516454</v>
      </c>
      <c r="X31" s="136">
        <v>0</v>
      </c>
      <c r="Y31" s="136">
        <v>83.858064516129019</v>
      </c>
      <c r="Z31" s="136">
        <v>0</v>
      </c>
      <c r="AA31" s="136">
        <v>0</v>
      </c>
      <c r="AB31" s="136">
        <v>0</v>
      </c>
      <c r="AC31" s="226">
        <f t="shared" si="8"/>
        <v>1454028.47990763</v>
      </c>
      <c r="AD31" s="226">
        <f t="shared" si="9"/>
        <v>0</v>
      </c>
      <c r="AE31" s="226">
        <f t="shared" si="10"/>
        <v>0</v>
      </c>
      <c r="AF31" s="226">
        <f t="shared" si="11"/>
        <v>62220.382677165355</v>
      </c>
      <c r="AG31" s="226">
        <f t="shared" si="12"/>
        <v>0</v>
      </c>
      <c r="AH31" s="118">
        <f t="shared" si="13"/>
        <v>13295.767441860457</v>
      </c>
      <c r="AI31" s="118">
        <f t="shared" si="14"/>
        <v>24692.139534883732</v>
      </c>
      <c r="AJ31" s="118">
        <f t="shared" si="15"/>
        <v>1266.263565891473</v>
      </c>
      <c r="AK31" s="118">
        <f t="shared" si="16"/>
        <v>422.08785529715681</v>
      </c>
      <c r="AL31" s="118">
        <f t="shared" si="17"/>
        <v>0</v>
      </c>
      <c r="AM31" s="118">
        <f t="shared" si="18"/>
        <v>0</v>
      </c>
      <c r="AN31" s="118">
        <f t="shared" si="19"/>
        <v>0</v>
      </c>
      <c r="AO31" s="118">
        <f t="shared" si="20"/>
        <v>0</v>
      </c>
      <c r="AP31" s="118">
        <f t="shared" si="21"/>
        <v>0</v>
      </c>
      <c r="AQ31" s="118">
        <f t="shared" si="22"/>
        <v>0</v>
      </c>
      <c r="AR31" s="118">
        <f t="shared" si="23"/>
        <v>0</v>
      </c>
      <c r="AS31" s="118">
        <f t="shared" si="24"/>
        <v>0</v>
      </c>
      <c r="AT31" s="118">
        <f t="shared" si="25"/>
        <v>77026.908761329178</v>
      </c>
      <c r="AU31" s="118">
        <f t="shared" si="26"/>
        <v>0</v>
      </c>
      <c r="AV31" s="118">
        <f t="shared" si="27"/>
        <v>52999.135354838698</v>
      </c>
      <c r="AW31" s="118">
        <f t="shared" si="28"/>
        <v>0</v>
      </c>
      <c r="AX31" s="118">
        <f t="shared" si="29"/>
        <v>0</v>
      </c>
      <c r="AY31" s="118">
        <f t="shared" si="30"/>
        <v>0</v>
      </c>
      <c r="AZ31" s="118">
        <v>140000</v>
      </c>
      <c r="BA31" s="118">
        <v>51604</v>
      </c>
      <c r="BB31" s="118">
        <v>3104</v>
      </c>
      <c r="BC31" s="118"/>
      <c r="BD31" s="118"/>
      <c r="BE31" s="118"/>
      <c r="BF31" s="276">
        <f t="shared" si="39"/>
        <v>1454028.47990763</v>
      </c>
      <c r="BG31" s="276">
        <f t="shared" si="32"/>
        <v>231922.68519126601</v>
      </c>
      <c r="BH31" s="276">
        <f t="shared" si="33"/>
        <v>194708</v>
      </c>
      <c r="BI31" s="276">
        <f t="shared" si="34"/>
        <v>52999.135354838698</v>
      </c>
      <c r="BJ31" s="276">
        <f t="shared" si="35"/>
        <v>1880659.165098896</v>
      </c>
      <c r="BK31" s="276">
        <v>1685951.17</v>
      </c>
      <c r="BL31" s="119">
        <v>4345.2349599999998</v>
      </c>
      <c r="BM31" s="119">
        <v>4218.8105100000002</v>
      </c>
      <c r="BN31" s="228">
        <v>2.9966847185129319E-2</v>
      </c>
      <c r="BO31" s="228">
        <v>0</v>
      </c>
      <c r="BP31" s="119">
        <v>0</v>
      </c>
      <c r="BQ31" s="281">
        <f t="shared" si="36"/>
        <v>1880659.165098896</v>
      </c>
      <c r="BR31" s="119">
        <v>-849.72</v>
      </c>
      <c r="BS31" s="119">
        <v>-492.76</v>
      </c>
      <c r="BT31" s="120">
        <f t="shared" si="37"/>
        <v>1879316.685098896</v>
      </c>
      <c r="BU31" s="229"/>
      <c r="BV31" s="366">
        <f>VLOOKUP(B31,EYSFF!$A$4:$Z$61,23,0)</f>
        <v>114589.08030321302</v>
      </c>
      <c r="BW31" s="105">
        <f>VLOOKUP(B31,EYSFF!$A$4:$AA$61,24,0)</f>
        <v>51626.254684650419</v>
      </c>
      <c r="BX31" s="303"/>
      <c r="BY31" s="303"/>
      <c r="BZ31" s="107">
        <v>100246.25000000001</v>
      </c>
      <c r="CA31" s="273"/>
      <c r="CB31" s="314">
        <f t="shared" si="38"/>
        <v>75334.120734908138</v>
      </c>
      <c r="CC31" s="315">
        <v>0</v>
      </c>
      <c r="CD31" s="315">
        <v>0</v>
      </c>
      <c r="CE31" s="303"/>
      <c r="CF31" s="303"/>
      <c r="CG31" s="315">
        <v>8012</v>
      </c>
      <c r="CH31" s="322">
        <v>63357</v>
      </c>
      <c r="CI31" s="105"/>
      <c r="CJ31" s="303"/>
      <c r="CK31" s="305"/>
      <c r="CL31" s="2"/>
    </row>
    <row r="32" spans="1:90" ht="14.5" thickBot="1" x14ac:dyDescent="0.3">
      <c r="A32" s="48">
        <v>3122061</v>
      </c>
      <c r="B32" s="135">
        <v>2061</v>
      </c>
      <c r="C32" s="98" t="s">
        <v>106</v>
      </c>
      <c r="D32" s="136">
        <v>404</v>
      </c>
      <c r="E32" s="136">
        <v>404</v>
      </c>
      <c r="F32" s="136">
        <v>0</v>
      </c>
      <c r="G32" s="136">
        <v>0</v>
      </c>
      <c r="H32" s="136">
        <v>0</v>
      </c>
      <c r="I32" s="136">
        <v>72.284313725490193</v>
      </c>
      <c r="J32" s="136">
        <v>0</v>
      </c>
      <c r="K32" s="136">
        <v>65.000000000000043</v>
      </c>
      <c r="L32" s="136">
        <v>39.999999999999993</v>
      </c>
      <c r="M32" s="136">
        <v>34.000000000000021</v>
      </c>
      <c r="N32" s="136">
        <v>1.000000000000002</v>
      </c>
      <c r="O32" s="136">
        <v>0</v>
      </c>
      <c r="P32" s="136">
        <v>0</v>
      </c>
      <c r="Q32" s="136">
        <v>0</v>
      </c>
      <c r="R32" s="136">
        <v>0</v>
      </c>
      <c r="S32" s="136">
        <v>0</v>
      </c>
      <c r="T32" s="136">
        <v>0</v>
      </c>
      <c r="U32" s="136">
        <v>0</v>
      </c>
      <c r="V32" s="136">
        <v>0</v>
      </c>
      <c r="W32" s="136">
        <v>86.655072463767951</v>
      </c>
      <c r="X32" s="136">
        <v>0</v>
      </c>
      <c r="Y32" s="136">
        <v>78.701298701298711</v>
      </c>
      <c r="Z32" s="136">
        <v>0</v>
      </c>
      <c r="AA32" s="136">
        <v>0</v>
      </c>
      <c r="AB32" s="136">
        <v>0</v>
      </c>
      <c r="AC32" s="226">
        <f t="shared" si="8"/>
        <v>1513988.4172234086</v>
      </c>
      <c r="AD32" s="226">
        <f t="shared" si="9"/>
        <v>0</v>
      </c>
      <c r="AE32" s="226">
        <f t="shared" si="10"/>
        <v>0</v>
      </c>
      <c r="AF32" s="226">
        <f t="shared" si="11"/>
        <v>80298.475588235277</v>
      </c>
      <c r="AG32" s="226">
        <f t="shared" si="12"/>
        <v>0</v>
      </c>
      <c r="AH32" s="118">
        <f t="shared" si="13"/>
        <v>6841.2500000000045</v>
      </c>
      <c r="AI32" s="118">
        <f t="shared" si="14"/>
        <v>8419.9999999999982</v>
      </c>
      <c r="AJ32" s="118">
        <f t="shared" si="15"/>
        <v>10735.500000000007</v>
      </c>
      <c r="AK32" s="118">
        <f t="shared" si="16"/>
        <v>421.00000000000085</v>
      </c>
      <c r="AL32" s="118">
        <f t="shared" si="17"/>
        <v>0</v>
      </c>
      <c r="AM32" s="118">
        <f t="shared" si="18"/>
        <v>0</v>
      </c>
      <c r="AN32" s="118">
        <f t="shared" si="19"/>
        <v>0</v>
      </c>
      <c r="AO32" s="118">
        <f t="shared" si="20"/>
        <v>0</v>
      </c>
      <c r="AP32" s="118">
        <f t="shared" si="21"/>
        <v>0</v>
      </c>
      <c r="AQ32" s="118">
        <f t="shared" si="22"/>
        <v>0</v>
      </c>
      <c r="AR32" s="118">
        <f t="shared" si="23"/>
        <v>0</v>
      </c>
      <c r="AS32" s="118">
        <f t="shared" si="24"/>
        <v>0</v>
      </c>
      <c r="AT32" s="118">
        <f t="shared" si="25"/>
        <v>68604.820869565097</v>
      </c>
      <c r="AU32" s="118">
        <f t="shared" si="26"/>
        <v>0</v>
      </c>
      <c r="AV32" s="118">
        <f t="shared" si="27"/>
        <v>49740.007792207798</v>
      </c>
      <c r="AW32" s="118">
        <f t="shared" si="28"/>
        <v>0</v>
      </c>
      <c r="AX32" s="118">
        <f t="shared" si="29"/>
        <v>0</v>
      </c>
      <c r="AY32" s="118">
        <f t="shared" si="30"/>
        <v>0</v>
      </c>
      <c r="AZ32" s="118">
        <v>140000</v>
      </c>
      <c r="BA32" s="118">
        <v>63308</v>
      </c>
      <c r="BB32" s="118">
        <v>3808</v>
      </c>
      <c r="BC32" s="118"/>
      <c r="BD32" s="118"/>
      <c r="BE32" s="118"/>
      <c r="BF32" s="276">
        <f t="shared" si="39"/>
        <v>1513988.4172234086</v>
      </c>
      <c r="BG32" s="276">
        <f t="shared" si="32"/>
        <v>225061.05425000816</v>
      </c>
      <c r="BH32" s="276">
        <f t="shared" si="33"/>
        <v>207116</v>
      </c>
      <c r="BI32" s="276">
        <f t="shared" si="34"/>
        <v>49740.007792207798</v>
      </c>
      <c r="BJ32" s="276">
        <f t="shared" si="35"/>
        <v>1946165.4714734168</v>
      </c>
      <c r="BK32" s="276">
        <v>1739049.47</v>
      </c>
      <c r="BL32" s="119">
        <v>4304.5779000000002</v>
      </c>
      <c r="BM32" s="119">
        <v>4179.0593200000003</v>
      </c>
      <c r="BN32" s="228">
        <v>3.0035127109277367E-2</v>
      </c>
      <c r="BO32" s="228">
        <v>0</v>
      </c>
      <c r="BP32" s="119">
        <v>0</v>
      </c>
      <c r="BQ32" s="281">
        <f t="shared" si="36"/>
        <v>1946165.4714734168</v>
      </c>
      <c r="BR32" s="119">
        <v>-884.76</v>
      </c>
      <c r="BS32" s="119">
        <v>-513.08000000000004</v>
      </c>
      <c r="BT32" s="120">
        <f t="shared" si="37"/>
        <v>1944767.6314734167</v>
      </c>
      <c r="BU32" s="229"/>
      <c r="BV32" s="366">
        <f>VLOOKUP(B32,EYSFF!$A$4:$Z$61,23,0)</f>
        <v>107297.88078563529</v>
      </c>
      <c r="BW32" s="105">
        <f>VLOOKUP(B32,EYSFF!$A$4:$AA$61,24,0)</f>
        <v>0</v>
      </c>
      <c r="BX32" s="303"/>
      <c r="BY32" s="303"/>
      <c r="BZ32" s="107">
        <v>72700</v>
      </c>
      <c r="CA32" s="273"/>
      <c r="CB32" s="314">
        <f t="shared" si="38"/>
        <v>97222.401960784307</v>
      </c>
      <c r="CC32" s="315">
        <v>2480</v>
      </c>
      <c r="CD32" s="315">
        <v>2345</v>
      </c>
      <c r="CE32" s="303"/>
      <c r="CF32" s="303"/>
      <c r="CG32" s="315">
        <v>8112</v>
      </c>
      <c r="CH32" s="322">
        <v>55354</v>
      </c>
      <c r="CI32" s="105"/>
      <c r="CJ32" s="303"/>
      <c r="CK32" s="305"/>
      <c r="CL32" s="2"/>
    </row>
    <row r="33" spans="1:90" ht="14.5" thickBot="1" x14ac:dyDescent="0.3">
      <c r="A33" s="48">
        <v>3122021</v>
      </c>
      <c r="B33" s="135">
        <v>2021</v>
      </c>
      <c r="C33" s="98" t="s">
        <v>109</v>
      </c>
      <c r="D33" s="136">
        <v>390</v>
      </c>
      <c r="E33" s="136">
        <v>390</v>
      </c>
      <c r="F33" s="136">
        <v>0</v>
      </c>
      <c r="G33" s="136">
        <v>0</v>
      </c>
      <c r="H33" s="136">
        <v>0</v>
      </c>
      <c r="I33" s="136">
        <v>66.187989556135761</v>
      </c>
      <c r="J33" s="136">
        <v>0</v>
      </c>
      <c r="K33" s="136">
        <v>134.34447300771197</v>
      </c>
      <c r="L33" s="136">
        <v>66.169665809768816</v>
      </c>
      <c r="M33" s="136">
        <v>2.0051413881748079</v>
      </c>
      <c r="N33" s="136">
        <v>0</v>
      </c>
      <c r="O33" s="136">
        <v>6.0154241645244246</v>
      </c>
      <c r="P33" s="136">
        <v>0</v>
      </c>
      <c r="Q33" s="136">
        <v>0</v>
      </c>
      <c r="R33" s="136">
        <v>0</v>
      </c>
      <c r="S33" s="136">
        <v>0</v>
      </c>
      <c r="T33" s="136">
        <v>0</v>
      </c>
      <c r="U33" s="136">
        <v>0</v>
      </c>
      <c r="V33" s="136">
        <v>0</v>
      </c>
      <c r="W33" s="136">
        <v>145.8054711246202</v>
      </c>
      <c r="X33" s="136">
        <v>0</v>
      </c>
      <c r="Y33" s="136">
        <v>98.145695364238421</v>
      </c>
      <c r="Z33" s="136">
        <v>0</v>
      </c>
      <c r="AA33" s="136">
        <v>2.6000000000000112</v>
      </c>
      <c r="AB33" s="136">
        <v>0</v>
      </c>
      <c r="AC33" s="226">
        <f t="shared" si="8"/>
        <v>1461523.4720721024</v>
      </c>
      <c r="AD33" s="226">
        <f t="shared" si="9"/>
        <v>0</v>
      </c>
      <c r="AE33" s="226">
        <f t="shared" si="10"/>
        <v>0</v>
      </c>
      <c r="AF33" s="226">
        <f t="shared" si="11"/>
        <v>73526.25195822453</v>
      </c>
      <c r="AG33" s="226">
        <f t="shared" si="12"/>
        <v>0</v>
      </c>
      <c r="AH33" s="118">
        <f t="shared" si="13"/>
        <v>14139.755784061685</v>
      </c>
      <c r="AI33" s="118">
        <f t="shared" si="14"/>
        <v>13928.714652956336</v>
      </c>
      <c r="AJ33" s="118">
        <f t="shared" si="15"/>
        <v>633.12339331619557</v>
      </c>
      <c r="AK33" s="118">
        <f t="shared" si="16"/>
        <v>0</v>
      </c>
      <c r="AL33" s="118">
        <f t="shared" si="17"/>
        <v>3165.6169665809784</v>
      </c>
      <c r="AM33" s="118">
        <f t="shared" si="18"/>
        <v>0</v>
      </c>
      <c r="AN33" s="118">
        <f t="shared" si="19"/>
        <v>0</v>
      </c>
      <c r="AO33" s="118">
        <f t="shared" si="20"/>
        <v>0</v>
      </c>
      <c r="AP33" s="118">
        <f t="shared" si="21"/>
        <v>0</v>
      </c>
      <c r="AQ33" s="118">
        <f t="shared" si="22"/>
        <v>0</v>
      </c>
      <c r="AR33" s="118">
        <f t="shared" si="23"/>
        <v>0</v>
      </c>
      <c r="AS33" s="118">
        <f t="shared" si="24"/>
        <v>0</v>
      </c>
      <c r="AT33" s="118">
        <f t="shared" si="25"/>
        <v>115434.19148936182</v>
      </c>
      <c r="AU33" s="118">
        <f t="shared" si="26"/>
        <v>0</v>
      </c>
      <c r="AV33" s="118">
        <f t="shared" si="27"/>
        <v>62029.060927152321</v>
      </c>
      <c r="AW33" s="118">
        <f t="shared" si="28"/>
        <v>0</v>
      </c>
      <c r="AX33" s="118">
        <f t="shared" si="29"/>
        <v>2571.6600000000112</v>
      </c>
      <c r="AY33" s="118">
        <f t="shared" si="30"/>
        <v>0</v>
      </c>
      <c r="AZ33" s="118">
        <v>140000</v>
      </c>
      <c r="BA33" s="118">
        <v>0</v>
      </c>
      <c r="BB33" s="118">
        <v>0</v>
      </c>
      <c r="BC33" s="118"/>
      <c r="BD33" s="118"/>
      <c r="BE33" s="118"/>
      <c r="BF33" s="276">
        <f t="shared" si="39"/>
        <v>1461523.4720721024</v>
      </c>
      <c r="BG33" s="276">
        <f t="shared" si="32"/>
        <v>285428.37517165393</v>
      </c>
      <c r="BH33" s="276">
        <f t="shared" si="33"/>
        <v>140000</v>
      </c>
      <c r="BI33" s="276">
        <f t="shared" si="34"/>
        <v>62029.060927152321</v>
      </c>
      <c r="BJ33" s="276">
        <f t="shared" si="35"/>
        <v>1886951.8472437563</v>
      </c>
      <c r="BK33" s="276">
        <v>1746951.85</v>
      </c>
      <c r="BL33" s="119">
        <v>4479.3637099999996</v>
      </c>
      <c r="BM33" s="119">
        <v>4429.4171999999999</v>
      </c>
      <c r="BN33" s="228">
        <v>1.1276090577062813E-2</v>
      </c>
      <c r="BO33" s="228">
        <v>0</v>
      </c>
      <c r="BP33" s="119">
        <v>0</v>
      </c>
      <c r="BQ33" s="281">
        <f t="shared" si="36"/>
        <v>1886951.8472437563</v>
      </c>
      <c r="BR33" s="119">
        <v>0</v>
      </c>
      <c r="BS33" s="119">
        <v>0</v>
      </c>
      <c r="BT33" s="120">
        <f t="shared" si="37"/>
        <v>1886951.8472437563</v>
      </c>
      <c r="BU33" s="131"/>
      <c r="BV33" s="366">
        <f>VLOOKUP(B33,EYSFF!$A$4:$Z$61,23,0)</f>
        <v>156401.83939963352</v>
      </c>
      <c r="BW33" s="105">
        <f>VLOOKUP(B33,EYSFF!$A$4:$AA$61,24,0)</f>
        <v>0</v>
      </c>
      <c r="BX33" s="303"/>
      <c r="BY33" s="303"/>
      <c r="BZ33" s="107">
        <v>32741.666666666668</v>
      </c>
      <c r="CB33" s="302"/>
      <c r="CC33" s="303"/>
      <c r="CD33" s="303"/>
      <c r="CE33" s="303"/>
      <c r="CF33" s="303"/>
      <c r="CG33" s="303"/>
      <c r="CH33" s="303"/>
      <c r="CI33" s="303"/>
      <c r="CJ33" s="303"/>
      <c r="CK33" s="305"/>
      <c r="CL33" s="2"/>
    </row>
    <row r="34" spans="1:90" ht="14.5" thickBot="1" x14ac:dyDescent="0.3">
      <c r="A34" s="48">
        <v>3122063</v>
      </c>
      <c r="B34" s="135">
        <v>2063</v>
      </c>
      <c r="C34" s="98" t="s">
        <v>111</v>
      </c>
      <c r="D34" s="136">
        <v>330</v>
      </c>
      <c r="E34" s="136">
        <v>330</v>
      </c>
      <c r="F34" s="136">
        <v>0</v>
      </c>
      <c r="G34" s="136">
        <v>0</v>
      </c>
      <c r="H34" s="136">
        <v>0</v>
      </c>
      <c r="I34" s="136">
        <v>75.850746268656707</v>
      </c>
      <c r="J34" s="136">
        <v>0</v>
      </c>
      <c r="K34" s="136">
        <v>76.999999999999886</v>
      </c>
      <c r="L34" s="136">
        <v>89.000000000000099</v>
      </c>
      <c r="M34" s="136">
        <v>5.000000000000016</v>
      </c>
      <c r="N34" s="136">
        <v>1.9999999999999998</v>
      </c>
      <c r="O34" s="136">
        <v>0.99999999999999989</v>
      </c>
      <c r="P34" s="136">
        <v>0</v>
      </c>
      <c r="Q34" s="136">
        <v>0</v>
      </c>
      <c r="R34" s="136">
        <v>0</v>
      </c>
      <c r="S34" s="136">
        <v>0</v>
      </c>
      <c r="T34" s="136">
        <v>0</v>
      </c>
      <c r="U34" s="136">
        <v>0</v>
      </c>
      <c r="V34" s="136">
        <v>0</v>
      </c>
      <c r="W34" s="136">
        <v>56.571428571428434</v>
      </c>
      <c r="X34" s="136">
        <v>0</v>
      </c>
      <c r="Y34" s="136">
        <v>78.375</v>
      </c>
      <c r="Z34" s="136">
        <v>0</v>
      </c>
      <c r="AA34" s="136">
        <v>0.19999999999999901</v>
      </c>
      <c r="AB34" s="136">
        <v>0</v>
      </c>
      <c r="AC34" s="226">
        <f t="shared" si="8"/>
        <v>1236673.7071379328</v>
      </c>
      <c r="AD34" s="226">
        <f t="shared" si="9"/>
        <v>0</v>
      </c>
      <c r="AE34" s="226">
        <f t="shared" si="10"/>
        <v>0</v>
      </c>
      <c r="AF34" s="226">
        <f t="shared" si="11"/>
        <v>84260.318507462667</v>
      </c>
      <c r="AG34" s="226">
        <f t="shared" si="12"/>
        <v>0</v>
      </c>
      <c r="AH34" s="118">
        <f t="shared" si="13"/>
        <v>8104.2499999999882</v>
      </c>
      <c r="AI34" s="118">
        <f t="shared" si="14"/>
        <v>18734.500000000022</v>
      </c>
      <c r="AJ34" s="118">
        <f t="shared" si="15"/>
        <v>1578.750000000005</v>
      </c>
      <c r="AK34" s="118">
        <f t="shared" si="16"/>
        <v>841.99999999999989</v>
      </c>
      <c r="AL34" s="118">
        <f t="shared" si="17"/>
        <v>526.24999999999989</v>
      </c>
      <c r="AM34" s="118">
        <f t="shared" si="18"/>
        <v>0</v>
      </c>
      <c r="AN34" s="118">
        <f t="shared" si="19"/>
        <v>0</v>
      </c>
      <c r="AO34" s="118">
        <f t="shared" si="20"/>
        <v>0</v>
      </c>
      <c r="AP34" s="118">
        <f t="shared" si="21"/>
        <v>0</v>
      </c>
      <c r="AQ34" s="118">
        <f t="shared" si="22"/>
        <v>0</v>
      </c>
      <c r="AR34" s="118">
        <f t="shared" si="23"/>
        <v>0</v>
      </c>
      <c r="AS34" s="118">
        <f t="shared" si="24"/>
        <v>0</v>
      </c>
      <c r="AT34" s="118">
        <f t="shared" si="25"/>
        <v>44787.599999999897</v>
      </c>
      <c r="AU34" s="118">
        <f t="shared" si="26"/>
        <v>0</v>
      </c>
      <c r="AV34" s="118">
        <f t="shared" si="27"/>
        <v>49533.783750000002</v>
      </c>
      <c r="AW34" s="118">
        <f t="shared" si="28"/>
        <v>0</v>
      </c>
      <c r="AX34" s="118">
        <f t="shared" si="29"/>
        <v>197.81999999999903</v>
      </c>
      <c r="AY34" s="118">
        <f t="shared" si="30"/>
        <v>0</v>
      </c>
      <c r="AZ34" s="118">
        <v>140000</v>
      </c>
      <c r="BA34" s="118">
        <v>54264</v>
      </c>
      <c r="BB34" s="118">
        <v>3264</v>
      </c>
      <c r="BC34" s="118"/>
      <c r="BD34" s="118"/>
      <c r="BE34" s="118"/>
      <c r="BF34" s="276">
        <f t="shared" si="39"/>
        <v>1236673.7071379328</v>
      </c>
      <c r="BG34" s="276">
        <f t="shared" si="32"/>
        <v>208565.27225746258</v>
      </c>
      <c r="BH34" s="276">
        <f t="shared" si="33"/>
        <v>197528</v>
      </c>
      <c r="BI34" s="276">
        <f t="shared" si="34"/>
        <v>49533.783750000002</v>
      </c>
      <c r="BJ34" s="276">
        <f t="shared" si="35"/>
        <v>1642766.9793953954</v>
      </c>
      <c r="BK34" s="276">
        <v>1445238.98</v>
      </c>
      <c r="BL34" s="119">
        <v>4379.51206</v>
      </c>
      <c r="BM34" s="119">
        <v>4274.6655499999997</v>
      </c>
      <c r="BN34" s="228">
        <v>2.452741894858692E-2</v>
      </c>
      <c r="BO34" s="228">
        <v>0</v>
      </c>
      <c r="BP34" s="119">
        <v>0</v>
      </c>
      <c r="BQ34" s="281">
        <f t="shared" si="36"/>
        <v>1642766.9793953954</v>
      </c>
      <c r="BR34" s="119">
        <v>-722.69999999999993</v>
      </c>
      <c r="BS34" s="119">
        <v>-419.1</v>
      </c>
      <c r="BT34" s="120">
        <f t="shared" si="37"/>
        <v>1641625.1793953953</v>
      </c>
      <c r="BU34" s="229"/>
      <c r="BV34" s="366">
        <f>VLOOKUP(B34,EYSFF!$A$4:$Z$61,23,0)</f>
        <v>101896.23699262297</v>
      </c>
      <c r="BW34" s="105">
        <f>VLOOKUP(B34,EYSFF!$A$4:$AA$61,24,0)</f>
        <v>34433.331301396902</v>
      </c>
      <c r="BX34" s="303"/>
      <c r="BY34" s="303"/>
      <c r="BZ34" s="107">
        <v>11541.666666666666</v>
      </c>
      <c r="CA34" s="273"/>
      <c r="CB34" s="314">
        <f>$I34*1345</f>
        <v>102019.25373134327</v>
      </c>
      <c r="CC34" s="315">
        <v>620</v>
      </c>
      <c r="CD34" s="315">
        <v>0</v>
      </c>
      <c r="CE34" s="303"/>
      <c r="CF34" s="303"/>
      <c r="CG34" s="315">
        <v>7904</v>
      </c>
      <c r="CH34" s="322">
        <v>35124</v>
      </c>
      <c r="CI34" s="105"/>
      <c r="CJ34" s="303"/>
      <c r="CK34" s="305"/>
      <c r="CL34" s="2"/>
    </row>
    <row r="35" spans="1:90" ht="14.5" thickBot="1" x14ac:dyDescent="0.3">
      <c r="A35" s="48">
        <v>3122081</v>
      </c>
      <c r="B35" s="135">
        <v>2081</v>
      </c>
      <c r="C35" s="98" t="s">
        <v>112</v>
      </c>
      <c r="D35" s="136">
        <v>633</v>
      </c>
      <c r="E35" s="136">
        <v>633</v>
      </c>
      <c r="F35" s="136">
        <v>0</v>
      </c>
      <c r="G35" s="136">
        <v>0</v>
      </c>
      <c r="H35" s="136">
        <v>0</v>
      </c>
      <c r="I35" s="136">
        <v>100.84069400630915</v>
      </c>
      <c r="J35" s="136">
        <v>0</v>
      </c>
      <c r="K35" s="136">
        <v>140.22151898734168</v>
      </c>
      <c r="L35" s="136">
        <v>115.18196202531665</v>
      </c>
      <c r="M35" s="136">
        <v>7.0110759493670844</v>
      </c>
      <c r="N35" s="136">
        <v>5.0079113924050622</v>
      </c>
      <c r="O35" s="136">
        <v>4.0063291139240489</v>
      </c>
      <c r="P35" s="136">
        <v>0</v>
      </c>
      <c r="Q35" s="136">
        <v>0</v>
      </c>
      <c r="R35" s="136">
        <v>0</v>
      </c>
      <c r="S35" s="136">
        <v>0</v>
      </c>
      <c r="T35" s="136">
        <v>0</v>
      </c>
      <c r="U35" s="136">
        <v>0</v>
      </c>
      <c r="V35" s="136">
        <v>0</v>
      </c>
      <c r="W35" s="136">
        <v>210.99999999999977</v>
      </c>
      <c r="X35" s="136">
        <v>0</v>
      </c>
      <c r="Y35" s="136">
        <v>221.91379310344828</v>
      </c>
      <c r="Z35" s="136">
        <v>0</v>
      </c>
      <c r="AA35" s="136">
        <v>0</v>
      </c>
      <c r="AB35" s="136">
        <v>0</v>
      </c>
      <c r="AC35" s="226">
        <f t="shared" si="8"/>
        <v>2372165.0200554891</v>
      </c>
      <c r="AD35" s="226">
        <f t="shared" si="9"/>
        <v>0</v>
      </c>
      <c r="AE35" s="226">
        <f t="shared" si="10"/>
        <v>0</v>
      </c>
      <c r="AF35" s="226">
        <f t="shared" si="11"/>
        <v>112020.90175078863</v>
      </c>
      <c r="AG35" s="226">
        <f t="shared" si="12"/>
        <v>0</v>
      </c>
      <c r="AH35" s="118">
        <f t="shared" si="13"/>
        <v>14758.314873417712</v>
      </c>
      <c r="AI35" s="118">
        <f t="shared" si="14"/>
        <v>24245.803006329155</v>
      </c>
      <c r="AJ35" s="118">
        <f t="shared" si="15"/>
        <v>2213.7472310126568</v>
      </c>
      <c r="AK35" s="118">
        <f t="shared" si="16"/>
        <v>2108.3306962025313</v>
      </c>
      <c r="AL35" s="118">
        <f t="shared" si="17"/>
        <v>2108.3306962025308</v>
      </c>
      <c r="AM35" s="118">
        <f t="shared" si="18"/>
        <v>0</v>
      </c>
      <c r="AN35" s="118">
        <f t="shared" si="19"/>
        <v>0</v>
      </c>
      <c r="AO35" s="118">
        <f t="shared" si="20"/>
        <v>0</v>
      </c>
      <c r="AP35" s="118">
        <f t="shared" si="21"/>
        <v>0</v>
      </c>
      <c r="AQ35" s="118">
        <f t="shared" si="22"/>
        <v>0</v>
      </c>
      <c r="AR35" s="118">
        <f t="shared" si="23"/>
        <v>0</v>
      </c>
      <c r="AS35" s="118">
        <f t="shared" si="24"/>
        <v>0</v>
      </c>
      <c r="AT35" s="118">
        <f t="shared" si="25"/>
        <v>167048.69999999984</v>
      </c>
      <c r="AU35" s="118">
        <f t="shared" si="26"/>
        <v>0</v>
      </c>
      <c r="AV35" s="118">
        <f t="shared" si="27"/>
        <v>140251.73637931034</v>
      </c>
      <c r="AW35" s="118">
        <f t="shared" si="28"/>
        <v>0</v>
      </c>
      <c r="AX35" s="118">
        <f t="shared" si="29"/>
        <v>0</v>
      </c>
      <c r="AY35" s="118">
        <f t="shared" si="30"/>
        <v>0</v>
      </c>
      <c r="AZ35" s="118">
        <v>140000</v>
      </c>
      <c r="BA35" s="118">
        <v>13032</v>
      </c>
      <c r="BB35" s="118">
        <v>1832</v>
      </c>
      <c r="BC35" s="118"/>
      <c r="BD35" s="118"/>
      <c r="BE35" s="118"/>
      <c r="BF35" s="276">
        <f t="shared" si="39"/>
        <v>2372165.0200554891</v>
      </c>
      <c r="BG35" s="276">
        <f t="shared" si="32"/>
        <v>464755.86463326344</v>
      </c>
      <c r="BH35" s="276">
        <f t="shared" si="33"/>
        <v>154864</v>
      </c>
      <c r="BI35" s="276">
        <f t="shared" si="34"/>
        <v>140251.73637931034</v>
      </c>
      <c r="BJ35" s="276">
        <f t="shared" si="35"/>
        <v>2991784.8846887527</v>
      </c>
      <c r="BK35" s="276">
        <v>2836920.88</v>
      </c>
      <c r="BL35" s="119">
        <v>4481.7075599999998</v>
      </c>
      <c r="BM35" s="119">
        <v>4396.8973100000003</v>
      </c>
      <c r="BN35" s="228">
        <v>1.9288658888947246E-2</v>
      </c>
      <c r="BO35" s="228">
        <v>0</v>
      </c>
      <c r="BP35" s="119">
        <v>0</v>
      </c>
      <c r="BQ35" s="281">
        <f t="shared" si="36"/>
        <v>2991784.8846887527</v>
      </c>
      <c r="BR35" s="119">
        <v>0</v>
      </c>
      <c r="BS35" s="119">
        <v>0</v>
      </c>
      <c r="BT35" s="120">
        <f t="shared" si="37"/>
        <v>2991784.8846887527</v>
      </c>
      <c r="BU35" s="229"/>
      <c r="BV35" s="366">
        <f>VLOOKUP(B35,EYSFF!$A$4:$Z$61,23,0)</f>
        <v>204745.56696844148</v>
      </c>
      <c r="BW35" s="105">
        <f>VLOOKUP(B35,EYSFF!$A$4:$AA$61,24,0)</f>
        <v>47683.841526863922</v>
      </c>
      <c r="BX35" s="303"/>
      <c r="BY35" s="303"/>
      <c r="BZ35" s="107">
        <v>48283.333333333336</v>
      </c>
      <c r="CB35" s="302"/>
      <c r="CC35" s="303"/>
      <c r="CD35" s="303"/>
      <c r="CE35" s="303"/>
      <c r="CF35" s="303"/>
      <c r="CG35" s="303"/>
      <c r="CH35" s="303"/>
      <c r="CI35" s="303"/>
      <c r="CJ35" s="303"/>
      <c r="CK35" s="305"/>
      <c r="CL35" s="2"/>
    </row>
    <row r="36" spans="1:90" ht="14.5" thickBot="1" x14ac:dyDescent="0.3">
      <c r="A36" s="48">
        <v>3125204</v>
      </c>
      <c r="B36" s="135">
        <v>5204</v>
      </c>
      <c r="C36" s="98" t="s">
        <v>114</v>
      </c>
      <c r="D36" s="136">
        <v>174</v>
      </c>
      <c r="E36" s="136">
        <v>174</v>
      </c>
      <c r="F36" s="136">
        <v>0</v>
      </c>
      <c r="G36" s="136">
        <v>0</v>
      </c>
      <c r="H36" s="136">
        <v>0</v>
      </c>
      <c r="I36" s="136">
        <v>31.000000000000021</v>
      </c>
      <c r="J36" s="136">
        <v>0</v>
      </c>
      <c r="K36" s="136">
        <v>41</v>
      </c>
      <c r="L36" s="136">
        <v>0</v>
      </c>
      <c r="M36" s="136">
        <v>4.999999999999992</v>
      </c>
      <c r="N36" s="136">
        <v>0</v>
      </c>
      <c r="O36" s="136">
        <v>0</v>
      </c>
      <c r="P36" s="136">
        <v>0</v>
      </c>
      <c r="Q36" s="136">
        <v>0</v>
      </c>
      <c r="R36" s="136">
        <v>0</v>
      </c>
      <c r="S36" s="136">
        <v>0</v>
      </c>
      <c r="T36" s="136">
        <v>0</v>
      </c>
      <c r="U36" s="136">
        <v>0</v>
      </c>
      <c r="V36" s="136">
        <v>0</v>
      </c>
      <c r="W36" s="136">
        <v>125.83928571428577</v>
      </c>
      <c r="X36" s="136">
        <v>0</v>
      </c>
      <c r="Y36" s="136">
        <v>66.12</v>
      </c>
      <c r="Z36" s="136">
        <v>0</v>
      </c>
      <c r="AA36" s="136">
        <v>0</v>
      </c>
      <c r="AB36" s="136">
        <v>0</v>
      </c>
      <c r="AC36" s="226">
        <f t="shared" si="8"/>
        <v>652064.31830909185</v>
      </c>
      <c r="AD36" s="226">
        <f t="shared" si="9"/>
        <v>0</v>
      </c>
      <c r="AE36" s="226">
        <f t="shared" si="10"/>
        <v>0</v>
      </c>
      <c r="AF36" s="226">
        <f t="shared" si="11"/>
        <v>34436.970000000023</v>
      </c>
      <c r="AG36" s="226">
        <f t="shared" si="12"/>
        <v>0</v>
      </c>
      <c r="AH36" s="118">
        <f t="shared" si="13"/>
        <v>4315.25</v>
      </c>
      <c r="AI36" s="118">
        <f t="shared" si="14"/>
        <v>0</v>
      </c>
      <c r="AJ36" s="118">
        <f t="shared" si="15"/>
        <v>1578.7499999999975</v>
      </c>
      <c r="AK36" s="118">
        <f t="shared" si="16"/>
        <v>0</v>
      </c>
      <c r="AL36" s="118">
        <f t="shared" si="17"/>
        <v>0</v>
      </c>
      <c r="AM36" s="118">
        <f t="shared" si="18"/>
        <v>0</v>
      </c>
      <c r="AN36" s="118">
        <f t="shared" si="19"/>
        <v>0</v>
      </c>
      <c r="AO36" s="118">
        <f t="shared" si="20"/>
        <v>0</v>
      </c>
      <c r="AP36" s="118">
        <f t="shared" si="21"/>
        <v>0</v>
      </c>
      <c r="AQ36" s="118">
        <f t="shared" si="22"/>
        <v>0</v>
      </c>
      <c r="AR36" s="118">
        <f t="shared" si="23"/>
        <v>0</v>
      </c>
      <c r="AS36" s="118">
        <f t="shared" si="24"/>
        <v>0</v>
      </c>
      <c r="AT36" s="118">
        <f t="shared" si="25"/>
        <v>99626.962500000052</v>
      </c>
      <c r="AU36" s="118">
        <f t="shared" si="26"/>
        <v>0</v>
      </c>
      <c r="AV36" s="118">
        <f t="shared" si="27"/>
        <v>41788.501199999999</v>
      </c>
      <c r="AW36" s="118">
        <f t="shared" si="28"/>
        <v>0</v>
      </c>
      <c r="AX36" s="118">
        <f t="shared" si="29"/>
        <v>0</v>
      </c>
      <c r="AY36" s="118">
        <f t="shared" si="30"/>
        <v>0</v>
      </c>
      <c r="AZ36" s="118">
        <v>140000</v>
      </c>
      <c r="BA36" s="118">
        <v>10906</v>
      </c>
      <c r="BB36" s="118">
        <v>1066</v>
      </c>
      <c r="BC36" s="118"/>
      <c r="BD36" s="118"/>
      <c r="BE36" s="118"/>
      <c r="BF36" s="276">
        <f t="shared" si="39"/>
        <v>652064.31830909185</v>
      </c>
      <c r="BG36" s="276">
        <f t="shared" si="32"/>
        <v>181746.43370000008</v>
      </c>
      <c r="BH36" s="276">
        <f t="shared" si="33"/>
        <v>151972</v>
      </c>
      <c r="BI36" s="276">
        <f t="shared" si="34"/>
        <v>41788.501199999999</v>
      </c>
      <c r="BJ36" s="276">
        <f t="shared" si="35"/>
        <v>985782.7520090919</v>
      </c>
      <c r="BK36" s="276">
        <v>833810.75</v>
      </c>
      <c r="BL36" s="119">
        <v>4792.0158199999996</v>
      </c>
      <c r="BM36" s="119">
        <v>4552.7147500000001</v>
      </c>
      <c r="BN36" s="228">
        <v>5.2562279420613471E-2</v>
      </c>
      <c r="BO36" s="228">
        <v>0</v>
      </c>
      <c r="BP36" s="119">
        <v>0</v>
      </c>
      <c r="BQ36" s="281">
        <f t="shared" si="36"/>
        <v>985782.7520090919</v>
      </c>
      <c r="BR36" s="119">
        <v>-381.06</v>
      </c>
      <c r="BS36" s="119">
        <v>-220.98</v>
      </c>
      <c r="BT36" s="120">
        <f t="shared" si="37"/>
        <v>985180.71200909186</v>
      </c>
      <c r="BU36" s="229"/>
      <c r="BV36" s="366">
        <f>VLOOKUP(B36,EYSFF!$A$4:$Z$61,23,0)</f>
        <v>167137.8752272081</v>
      </c>
      <c r="BW36" s="105">
        <f>VLOOKUP(B36,EYSFF!$A$4:$AA$61,24,0)</f>
        <v>29123.114687747126</v>
      </c>
      <c r="BX36" s="303"/>
      <c r="BY36" s="303"/>
      <c r="BZ36" s="107">
        <v>13700</v>
      </c>
      <c r="CA36" s="273"/>
      <c r="CB36" s="314">
        <f>$I36*1345</f>
        <v>41695.000000000029</v>
      </c>
      <c r="CC36" s="315">
        <v>310</v>
      </c>
      <c r="CD36" s="315">
        <v>0</v>
      </c>
      <c r="CE36" s="303"/>
      <c r="CF36" s="303"/>
      <c r="CG36" s="315">
        <v>7117</v>
      </c>
      <c r="CH36" s="322">
        <v>47350</v>
      </c>
      <c r="CI36" s="105"/>
      <c r="CJ36" s="303"/>
      <c r="CK36" s="305"/>
    </row>
    <row r="37" spans="1:90" ht="14.5" thickBot="1" x14ac:dyDescent="0.3">
      <c r="A37" s="48">
        <v>3125205</v>
      </c>
      <c r="B37" s="135">
        <v>5205</v>
      </c>
      <c r="C37" s="98" t="s">
        <v>116</v>
      </c>
      <c r="D37" s="136">
        <v>225</v>
      </c>
      <c r="E37" s="136">
        <v>225</v>
      </c>
      <c r="F37" s="136">
        <v>0</v>
      </c>
      <c r="G37" s="136">
        <v>0</v>
      </c>
      <c r="H37" s="136">
        <v>0</v>
      </c>
      <c r="I37" s="136">
        <v>43.04347826086957</v>
      </c>
      <c r="J37" s="136">
        <v>0</v>
      </c>
      <c r="K37" s="136">
        <v>49.00000000000005</v>
      </c>
      <c r="L37" s="136">
        <v>0.999999999999999</v>
      </c>
      <c r="M37" s="136">
        <v>6.9999999999999973</v>
      </c>
      <c r="N37" s="136">
        <v>0</v>
      </c>
      <c r="O37" s="136">
        <v>0</v>
      </c>
      <c r="P37" s="136">
        <v>0</v>
      </c>
      <c r="Q37" s="136">
        <v>0</v>
      </c>
      <c r="R37" s="136">
        <v>0</v>
      </c>
      <c r="S37" s="136">
        <v>0</v>
      </c>
      <c r="T37" s="136">
        <v>0</v>
      </c>
      <c r="U37" s="136">
        <v>0</v>
      </c>
      <c r="V37" s="136">
        <v>0</v>
      </c>
      <c r="W37" s="136">
        <v>39.174107142857174</v>
      </c>
      <c r="X37" s="136">
        <v>0</v>
      </c>
      <c r="Y37" s="136">
        <v>74.214659685863879</v>
      </c>
      <c r="Z37" s="136">
        <v>0</v>
      </c>
      <c r="AA37" s="136">
        <v>0</v>
      </c>
      <c r="AB37" s="136">
        <v>0</v>
      </c>
      <c r="AC37" s="226">
        <f t="shared" si="8"/>
        <v>843186.61850313598</v>
      </c>
      <c r="AD37" s="226">
        <f t="shared" si="9"/>
        <v>0</v>
      </c>
      <c r="AE37" s="226">
        <f t="shared" si="10"/>
        <v>0</v>
      </c>
      <c r="AF37" s="226">
        <f t="shared" si="11"/>
        <v>47815.708695652174</v>
      </c>
      <c r="AG37" s="226">
        <f t="shared" si="12"/>
        <v>0</v>
      </c>
      <c r="AH37" s="118">
        <f t="shared" si="13"/>
        <v>5157.2500000000055</v>
      </c>
      <c r="AI37" s="118">
        <f t="shared" si="14"/>
        <v>210.4999999999998</v>
      </c>
      <c r="AJ37" s="118">
        <f t="shared" si="15"/>
        <v>2210.2499999999991</v>
      </c>
      <c r="AK37" s="118">
        <f t="shared" si="16"/>
        <v>0</v>
      </c>
      <c r="AL37" s="118">
        <f t="shared" si="17"/>
        <v>0</v>
      </c>
      <c r="AM37" s="118">
        <f t="shared" si="18"/>
        <v>0</v>
      </c>
      <c r="AN37" s="118">
        <f t="shared" si="19"/>
        <v>0</v>
      </c>
      <c r="AO37" s="118">
        <f t="shared" si="20"/>
        <v>0</v>
      </c>
      <c r="AP37" s="118">
        <f t="shared" si="21"/>
        <v>0</v>
      </c>
      <c r="AQ37" s="118">
        <f t="shared" si="22"/>
        <v>0</v>
      </c>
      <c r="AR37" s="118">
        <f t="shared" si="23"/>
        <v>0</v>
      </c>
      <c r="AS37" s="118">
        <f t="shared" si="24"/>
        <v>0</v>
      </c>
      <c r="AT37" s="118">
        <f t="shared" si="25"/>
        <v>31014.140625000025</v>
      </c>
      <c r="AU37" s="118">
        <f t="shared" si="26"/>
        <v>0</v>
      </c>
      <c r="AV37" s="118">
        <f t="shared" si="27"/>
        <v>46904.407068062828</v>
      </c>
      <c r="AW37" s="118">
        <f t="shared" si="28"/>
        <v>0</v>
      </c>
      <c r="AX37" s="118">
        <f t="shared" si="29"/>
        <v>0</v>
      </c>
      <c r="AY37" s="118">
        <f t="shared" si="30"/>
        <v>0</v>
      </c>
      <c r="AZ37" s="118">
        <v>140000</v>
      </c>
      <c r="BA37" s="118">
        <v>10906</v>
      </c>
      <c r="BB37" s="118">
        <v>1066</v>
      </c>
      <c r="BC37" s="118"/>
      <c r="BD37" s="118"/>
      <c r="BE37" s="118"/>
      <c r="BF37" s="276">
        <f t="shared" si="39"/>
        <v>843186.61850313598</v>
      </c>
      <c r="BG37" s="276">
        <f t="shared" si="32"/>
        <v>133312.25638871503</v>
      </c>
      <c r="BH37" s="276">
        <f t="shared" si="33"/>
        <v>151972</v>
      </c>
      <c r="BI37" s="276">
        <f t="shared" si="34"/>
        <v>46904.407068062828</v>
      </c>
      <c r="BJ37" s="276">
        <f t="shared" si="35"/>
        <v>1128470.8748918511</v>
      </c>
      <c r="BK37" s="276">
        <v>976498.87</v>
      </c>
      <c r="BL37" s="119">
        <v>4339.9949999999999</v>
      </c>
      <c r="BM37" s="119">
        <v>4284.8540000000003</v>
      </c>
      <c r="BN37" s="228">
        <v>1.2868816628043895E-2</v>
      </c>
      <c r="BO37" s="228">
        <v>0</v>
      </c>
      <c r="BP37" s="119">
        <v>0</v>
      </c>
      <c r="BQ37" s="281">
        <f t="shared" si="36"/>
        <v>1128470.8748918511</v>
      </c>
      <c r="BR37" s="119">
        <v>-492.75</v>
      </c>
      <c r="BS37" s="119">
        <v>-285.75</v>
      </c>
      <c r="BT37" s="120">
        <f t="shared" si="37"/>
        <v>1127692.3748918511</v>
      </c>
      <c r="BU37" s="229"/>
      <c r="BV37" s="302"/>
      <c r="BW37" s="303"/>
      <c r="BX37" s="303"/>
      <c r="BY37" s="303"/>
      <c r="BZ37" s="107">
        <v>27541.666666666668</v>
      </c>
      <c r="CA37" s="273"/>
      <c r="CB37" s="314">
        <f>$I37*1345</f>
        <v>57893.478260869575</v>
      </c>
      <c r="CC37" s="315">
        <v>620</v>
      </c>
      <c r="CD37" s="315">
        <v>2345</v>
      </c>
      <c r="CE37" s="303"/>
      <c r="CF37" s="303"/>
      <c r="CG37" s="315">
        <v>7625</v>
      </c>
      <c r="CH37" s="303"/>
      <c r="CI37" s="105"/>
      <c r="CJ37" s="303"/>
      <c r="CK37" s="305"/>
    </row>
    <row r="38" spans="1:90" ht="14.5" thickBot="1" x14ac:dyDescent="0.3">
      <c r="A38" s="48">
        <v>3123302</v>
      </c>
      <c r="B38" s="135">
        <v>3302</v>
      </c>
      <c r="C38" s="98" t="s">
        <v>118</v>
      </c>
      <c r="D38" s="136">
        <v>202</v>
      </c>
      <c r="E38" s="136">
        <v>202</v>
      </c>
      <c r="F38" s="136">
        <v>0</v>
      </c>
      <c r="G38" s="136">
        <v>0</v>
      </c>
      <c r="H38" s="136">
        <v>0</v>
      </c>
      <c r="I38" s="136">
        <v>29.705882352941178</v>
      </c>
      <c r="J38" s="136">
        <v>0</v>
      </c>
      <c r="K38" s="136">
        <v>18.18</v>
      </c>
      <c r="L38" s="136">
        <v>2.02</v>
      </c>
      <c r="M38" s="136">
        <v>3.03</v>
      </c>
      <c r="N38" s="136">
        <v>0</v>
      </c>
      <c r="O38" s="136">
        <v>0</v>
      </c>
      <c r="P38" s="136">
        <v>0</v>
      </c>
      <c r="Q38" s="136">
        <v>0</v>
      </c>
      <c r="R38" s="136">
        <v>0</v>
      </c>
      <c r="S38" s="136">
        <v>0</v>
      </c>
      <c r="T38" s="136">
        <v>0</v>
      </c>
      <c r="U38" s="136">
        <v>0</v>
      </c>
      <c r="V38" s="136">
        <v>0</v>
      </c>
      <c r="W38" s="136">
        <v>21.139534883720994</v>
      </c>
      <c r="X38" s="136">
        <v>0</v>
      </c>
      <c r="Y38" s="136">
        <v>47.092024539877301</v>
      </c>
      <c r="Z38" s="136">
        <v>0</v>
      </c>
      <c r="AA38" s="136">
        <v>0</v>
      </c>
      <c r="AB38" s="136">
        <v>0</v>
      </c>
      <c r="AC38" s="226">
        <f t="shared" ref="AC38:AC58" si="40">E38*$AC$3</f>
        <v>756994.20861170429</v>
      </c>
      <c r="AD38" s="226">
        <f t="shared" ref="AD38:AD69" si="41">G38*$AD$3</f>
        <v>0</v>
      </c>
      <c r="AE38" s="226">
        <f t="shared" ref="AE38:AE69" si="42">H38*$AE$3</f>
        <v>0</v>
      </c>
      <c r="AF38" s="226">
        <f t="shared" ref="AF38:AF69" si="43">I38*$AF$3</f>
        <v>32999.373529411765</v>
      </c>
      <c r="AG38" s="226">
        <f t="shared" ref="AG38:AG69" si="44">J38*$AG$3</f>
        <v>0</v>
      </c>
      <c r="AH38" s="118">
        <f t="shared" ref="AH38:AH69" si="45">K38*AH$3</f>
        <v>1913.4449999999999</v>
      </c>
      <c r="AI38" s="118">
        <f t="shared" ref="AI38:AI69" si="46">L38*AI$3</f>
        <v>425.21</v>
      </c>
      <c r="AJ38" s="118">
        <f t="shared" ref="AJ38:AJ69" si="47">M38*AJ$3</f>
        <v>956.72249999999997</v>
      </c>
      <c r="AK38" s="118">
        <f t="shared" ref="AK38:AK69" si="48">N38*AK$3</f>
        <v>0</v>
      </c>
      <c r="AL38" s="118">
        <f t="shared" ref="AL38:AL69" si="49">O38*AL$3</f>
        <v>0</v>
      </c>
      <c r="AM38" s="118">
        <f t="shared" ref="AM38:AM69" si="50">P38*AM$3</f>
        <v>0</v>
      </c>
      <c r="AN38" s="118">
        <f t="shared" ref="AN38:AN69" si="51">Q38*AN$3</f>
        <v>0</v>
      </c>
      <c r="AO38" s="118">
        <f t="shared" ref="AO38:AO69" si="52">R38*AO$3</f>
        <v>0</v>
      </c>
      <c r="AP38" s="118">
        <f t="shared" ref="AP38:AP69" si="53">S38*AP$3</f>
        <v>0</v>
      </c>
      <c r="AQ38" s="118">
        <f t="shared" ref="AQ38:AQ69" si="54">T38*AQ$3</f>
        <v>0</v>
      </c>
      <c r="AR38" s="118">
        <f t="shared" ref="AR38:AR69" si="55">U38*AR$3</f>
        <v>0</v>
      </c>
      <c r="AS38" s="118">
        <f t="shared" ref="AS38:AS69" si="56">V38*AS$3</f>
        <v>0</v>
      </c>
      <c r="AT38" s="118">
        <f t="shared" ref="AT38:AT69" si="57">W38*$AT$3</f>
        <v>16736.169767441912</v>
      </c>
      <c r="AU38" s="118">
        <f t="shared" ref="AU38:AU69" si="58">X38*$AU$3</f>
        <v>0</v>
      </c>
      <c r="AV38" s="118">
        <f t="shared" ref="AV38:AV69" si="59">Y38*$AV$3</f>
        <v>29762.63042944785</v>
      </c>
      <c r="AW38" s="118">
        <f t="shared" ref="AW38:AW69" si="60">Z38*$AW$3</f>
        <v>0</v>
      </c>
      <c r="AX38" s="118">
        <f t="shared" ref="AX38:AX69" si="61">AA38*$AX$3</f>
        <v>0</v>
      </c>
      <c r="AY38" s="118">
        <f t="shared" ref="AY38:AY69" si="62">AB38*$AY$3</f>
        <v>0</v>
      </c>
      <c r="AZ38" s="118">
        <v>140000</v>
      </c>
      <c r="BA38" s="118">
        <v>3028</v>
      </c>
      <c r="BB38" s="118">
        <v>172</v>
      </c>
      <c r="BC38" s="118"/>
      <c r="BD38" s="118"/>
      <c r="BE38" s="118"/>
      <c r="BF38" s="276">
        <f t="shared" si="39"/>
        <v>756994.20861170429</v>
      </c>
      <c r="BG38" s="276">
        <f t="shared" si="32"/>
        <v>82793.551226301526</v>
      </c>
      <c r="BH38" s="276">
        <f t="shared" si="33"/>
        <v>143200</v>
      </c>
      <c r="BI38" s="276">
        <f t="shared" si="34"/>
        <v>29762.63042944785</v>
      </c>
      <c r="BJ38" s="276">
        <f t="shared" ref="BJ38:BJ69" si="63">BF38+BG38+BH38</f>
        <v>982987.75983800576</v>
      </c>
      <c r="BK38" s="276">
        <v>839787.76</v>
      </c>
      <c r="BL38" s="119">
        <v>4157.3651499999996</v>
      </c>
      <c r="BM38" s="119">
        <v>4094.3321099999998</v>
      </c>
      <c r="BN38" s="228">
        <v>1.5395195041028474E-2</v>
      </c>
      <c r="BO38" s="228">
        <v>0</v>
      </c>
      <c r="BP38" s="119">
        <v>0</v>
      </c>
      <c r="BQ38" s="281">
        <f t="shared" ref="BQ38:BQ69" si="64">BJ38+BP38</f>
        <v>982987.75983800576</v>
      </c>
      <c r="BR38" s="119">
        <v>-442.38</v>
      </c>
      <c r="BS38" s="119">
        <v>-256.54000000000002</v>
      </c>
      <c r="BT38" s="120">
        <f t="shared" ref="BT38:BT69" si="65">SUM(BQ38:BS38)</f>
        <v>982288.83983800572</v>
      </c>
      <c r="BU38" s="229"/>
      <c r="BV38" s="366">
        <f>VLOOKUP(B38,EYSFF!$A$4:$Z$61,23,0)</f>
        <v>66348.541793925921</v>
      </c>
      <c r="BW38" s="105">
        <f>VLOOKUP(B38,EYSFF!$A$4:$AA$61,24,0)</f>
        <v>0</v>
      </c>
      <c r="BX38" s="303"/>
      <c r="BY38" s="303"/>
      <c r="BZ38" s="107">
        <v>53700</v>
      </c>
      <c r="CA38" s="273"/>
      <c r="CB38" s="314">
        <f>$I38*1345</f>
        <v>39954.411764705881</v>
      </c>
      <c r="CC38" s="315">
        <v>0</v>
      </c>
      <c r="CD38" s="315">
        <v>9380</v>
      </c>
      <c r="CE38" s="303"/>
      <c r="CF38" s="303"/>
      <c r="CG38" s="315">
        <v>7392</v>
      </c>
      <c r="CH38" s="322">
        <v>31567</v>
      </c>
      <c r="CI38" s="105"/>
      <c r="CJ38" s="303"/>
      <c r="CK38" s="305"/>
      <c r="CL38" s="2"/>
    </row>
    <row r="39" spans="1:90" ht="14.5" thickBot="1" x14ac:dyDescent="0.3">
      <c r="A39" s="48">
        <v>3122027</v>
      </c>
      <c r="B39" s="135">
        <v>2027</v>
      </c>
      <c r="C39" s="98" t="s">
        <v>120</v>
      </c>
      <c r="D39" s="136">
        <v>577</v>
      </c>
      <c r="E39" s="136">
        <v>577</v>
      </c>
      <c r="F39" s="136">
        <v>0</v>
      </c>
      <c r="G39" s="136">
        <v>0</v>
      </c>
      <c r="H39" s="136">
        <v>0</v>
      </c>
      <c r="I39" s="136">
        <v>35.999999999999979</v>
      </c>
      <c r="J39" s="136">
        <v>0</v>
      </c>
      <c r="K39" s="136">
        <v>151.52521739130438</v>
      </c>
      <c r="L39" s="136">
        <v>83.288695652174198</v>
      </c>
      <c r="M39" s="136">
        <v>10.034782608695661</v>
      </c>
      <c r="N39" s="136">
        <v>5.0173913043478242</v>
      </c>
      <c r="O39" s="136">
        <v>0</v>
      </c>
      <c r="P39" s="136">
        <v>0</v>
      </c>
      <c r="Q39" s="136">
        <v>0</v>
      </c>
      <c r="R39" s="136">
        <v>0</v>
      </c>
      <c r="S39" s="136">
        <v>0</v>
      </c>
      <c r="T39" s="136">
        <v>0</v>
      </c>
      <c r="U39" s="136">
        <v>0</v>
      </c>
      <c r="V39" s="136">
        <v>0</v>
      </c>
      <c r="W39" s="136">
        <v>76.854508196721071</v>
      </c>
      <c r="X39" s="136">
        <v>0</v>
      </c>
      <c r="Y39" s="136">
        <v>124.75675675675676</v>
      </c>
      <c r="Z39" s="136">
        <v>0</v>
      </c>
      <c r="AA39" s="136">
        <v>3.3800000000000008</v>
      </c>
      <c r="AB39" s="136">
        <v>0</v>
      </c>
      <c r="AC39" s="226">
        <f t="shared" si="40"/>
        <v>2162305.2394502643</v>
      </c>
      <c r="AD39" s="226">
        <f t="shared" si="41"/>
        <v>0</v>
      </c>
      <c r="AE39" s="226">
        <f t="shared" si="42"/>
        <v>0</v>
      </c>
      <c r="AF39" s="226">
        <f t="shared" si="43"/>
        <v>39991.319999999971</v>
      </c>
      <c r="AG39" s="226">
        <f t="shared" si="44"/>
        <v>0</v>
      </c>
      <c r="AH39" s="118">
        <f t="shared" si="45"/>
        <v>15948.029130434787</v>
      </c>
      <c r="AI39" s="118">
        <f t="shared" si="46"/>
        <v>17532.270434782669</v>
      </c>
      <c r="AJ39" s="118">
        <f t="shared" si="47"/>
        <v>3168.482608695655</v>
      </c>
      <c r="AK39" s="118">
        <f t="shared" si="48"/>
        <v>2112.3217391304338</v>
      </c>
      <c r="AL39" s="118">
        <f t="shared" si="49"/>
        <v>0</v>
      </c>
      <c r="AM39" s="118">
        <f t="shared" si="50"/>
        <v>0</v>
      </c>
      <c r="AN39" s="118">
        <f t="shared" si="51"/>
        <v>0</v>
      </c>
      <c r="AO39" s="118">
        <f t="shared" si="52"/>
        <v>0</v>
      </c>
      <c r="AP39" s="118">
        <f t="shared" si="53"/>
        <v>0</v>
      </c>
      <c r="AQ39" s="118">
        <f t="shared" si="54"/>
        <v>0</v>
      </c>
      <c r="AR39" s="118">
        <f t="shared" si="55"/>
        <v>0</v>
      </c>
      <c r="AS39" s="118">
        <f t="shared" si="56"/>
        <v>0</v>
      </c>
      <c r="AT39" s="118">
        <f t="shared" si="57"/>
        <v>60845.714139344076</v>
      </c>
      <c r="AU39" s="118">
        <f t="shared" si="58"/>
        <v>0</v>
      </c>
      <c r="AV39" s="118">
        <f t="shared" si="59"/>
        <v>78847.517837837833</v>
      </c>
      <c r="AW39" s="118">
        <f t="shared" si="60"/>
        <v>0</v>
      </c>
      <c r="AX39" s="118">
        <f t="shared" si="61"/>
        <v>3343.1580000000008</v>
      </c>
      <c r="AY39" s="118">
        <f t="shared" si="62"/>
        <v>0</v>
      </c>
      <c r="AZ39" s="118">
        <v>140000</v>
      </c>
      <c r="BA39" s="118">
        <v>22770</v>
      </c>
      <c r="BB39" s="118">
        <v>2470</v>
      </c>
      <c r="BC39" s="118"/>
      <c r="BD39" s="118"/>
      <c r="BE39" s="118">
        <v>-13471.6</v>
      </c>
      <c r="BF39" s="276">
        <f t="shared" si="39"/>
        <v>2162305.2394502643</v>
      </c>
      <c r="BG39" s="276">
        <f t="shared" si="32"/>
        <v>221788.81389022543</v>
      </c>
      <c r="BH39" s="276">
        <f t="shared" si="33"/>
        <v>151768.4</v>
      </c>
      <c r="BI39" s="276">
        <f t="shared" si="34"/>
        <v>78847.517837837833</v>
      </c>
      <c r="BJ39" s="276">
        <f t="shared" si="63"/>
        <v>2535862.4533404894</v>
      </c>
      <c r="BK39" s="276">
        <v>2384094.0499999998</v>
      </c>
      <c r="BL39" s="119">
        <v>4131.87878</v>
      </c>
      <c r="BM39" s="119">
        <v>4061.89876</v>
      </c>
      <c r="BN39" s="228">
        <v>1.7228400586488859E-2</v>
      </c>
      <c r="BO39" s="228">
        <v>0</v>
      </c>
      <c r="BP39" s="119">
        <v>0</v>
      </c>
      <c r="BQ39" s="281">
        <f t="shared" si="64"/>
        <v>2535862.4533404894</v>
      </c>
      <c r="BR39" s="119">
        <v>0</v>
      </c>
      <c r="BS39" s="119">
        <v>0</v>
      </c>
      <c r="BT39" s="120">
        <f t="shared" si="65"/>
        <v>2535862.4533404894</v>
      </c>
      <c r="BU39" s="229"/>
      <c r="BV39" s="366">
        <f>VLOOKUP(B39,EYSFF!$A$4:$Z$61,23,0)</f>
        <v>188284.97221922467</v>
      </c>
      <c r="BW39" s="105">
        <f>VLOOKUP(B39,EYSFF!$A$4:$AA$61,24,0)</f>
        <v>0</v>
      </c>
      <c r="BX39" s="303"/>
      <c r="BY39" s="303"/>
      <c r="BZ39" s="107">
        <v>174666.66666666666</v>
      </c>
      <c r="CB39" s="302"/>
      <c r="CC39" s="303"/>
      <c r="CD39" s="303"/>
      <c r="CE39" s="303"/>
      <c r="CF39" s="303"/>
      <c r="CG39" s="303"/>
      <c r="CH39" s="303"/>
      <c r="CI39" s="303"/>
      <c r="CJ39" s="303"/>
      <c r="CK39" s="305"/>
      <c r="CL39" s="2"/>
    </row>
    <row r="40" spans="1:90" ht="14.5" thickBot="1" x14ac:dyDescent="0.3">
      <c r="A40" s="48">
        <v>3122033</v>
      </c>
      <c r="B40" s="135">
        <v>2033</v>
      </c>
      <c r="C40" s="98" t="s">
        <v>122</v>
      </c>
      <c r="D40" s="136">
        <v>251</v>
      </c>
      <c r="E40" s="136">
        <v>251</v>
      </c>
      <c r="F40" s="136">
        <v>0</v>
      </c>
      <c r="G40" s="136">
        <v>0</v>
      </c>
      <c r="H40" s="136">
        <v>0</v>
      </c>
      <c r="I40" s="136">
        <v>30.000000000000099</v>
      </c>
      <c r="J40" s="136">
        <v>0</v>
      </c>
      <c r="K40" s="136">
        <v>3.0000000000000098</v>
      </c>
      <c r="L40" s="136">
        <v>1</v>
      </c>
      <c r="M40" s="136">
        <v>2</v>
      </c>
      <c r="N40" s="136">
        <v>0</v>
      </c>
      <c r="O40" s="136">
        <v>0</v>
      </c>
      <c r="P40" s="136">
        <v>0</v>
      </c>
      <c r="Q40" s="136">
        <v>0</v>
      </c>
      <c r="R40" s="136">
        <v>0</v>
      </c>
      <c r="S40" s="136">
        <v>0</v>
      </c>
      <c r="T40" s="136">
        <v>0</v>
      </c>
      <c r="U40" s="136">
        <v>0</v>
      </c>
      <c r="V40" s="136">
        <v>0</v>
      </c>
      <c r="W40" s="136">
        <v>40.390804597701134</v>
      </c>
      <c r="X40" s="136">
        <v>0</v>
      </c>
      <c r="Y40" s="136">
        <v>72.511111111111106</v>
      </c>
      <c r="Z40" s="136">
        <v>0</v>
      </c>
      <c r="AA40" s="136">
        <v>0</v>
      </c>
      <c r="AB40" s="136">
        <v>0</v>
      </c>
      <c r="AC40" s="226">
        <f t="shared" si="40"/>
        <v>940621.51664127619</v>
      </c>
      <c r="AD40" s="226">
        <f t="shared" si="41"/>
        <v>0</v>
      </c>
      <c r="AE40" s="226">
        <f t="shared" si="42"/>
        <v>0</v>
      </c>
      <c r="AF40" s="226">
        <f t="shared" si="43"/>
        <v>33326.100000000108</v>
      </c>
      <c r="AG40" s="226">
        <f t="shared" si="44"/>
        <v>0</v>
      </c>
      <c r="AH40" s="118">
        <f t="shared" si="45"/>
        <v>315.75000000000102</v>
      </c>
      <c r="AI40" s="118">
        <f t="shared" si="46"/>
        <v>210.5</v>
      </c>
      <c r="AJ40" s="118">
        <f t="shared" si="47"/>
        <v>631.5</v>
      </c>
      <c r="AK40" s="118">
        <f t="shared" si="48"/>
        <v>0</v>
      </c>
      <c r="AL40" s="118">
        <f t="shared" si="49"/>
        <v>0</v>
      </c>
      <c r="AM40" s="118">
        <f t="shared" si="50"/>
        <v>0</v>
      </c>
      <c r="AN40" s="118">
        <f t="shared" si="51"/>
        <v>0</v>
      </c>
      <c r="AO40" s="118">
        <f t="shared" si="52"/>
        <v>0</v>
      </c>
      <c r="AP40" s="118">
        <f t="shared" si="53"/>
        <v>0</v>
      </c>
      <c r="AQ40" s="118">
        <f t="shared" si="54"/>
        <v>0</v>
      </c>
      <c r="AR40" s="118">
        <f t="shared" si="55"/>
        <v>0</v>
      </c>
      <c r="AS40" s="118">
        <f t="shared" si="56"/>
        <v>0</v>
      </c>
      <c r="AT40" s="118">
        <f t="shared" si="57"/>
        <v>31977.399999999991</v>
      </c>
      <c r="AU40" s="118">
        <f t="shared" si="58"/>
        <v>0</v>
      </c>
      <c r="AV40" s="118">
        <f t="shared" si="59"/>
        <v>45827.747333333333</v>
      </c>
      <c r="AW40" s="118">
        <f t="shared" si="60"/>
        <v>0</v>
      </c>
      <c r="AX40" s="118">
        <f t="shared" si="61"/>
        <v>0</v>
      </c>
      <c r="AY40" s="118">
        <f t="shared" si="62"/>
        <v>0</v>
      </c>
      <c r="AZ40" s="118">
        <v>140000</v>
      </c>
      <c r="BA40" s="118">
        <v>20009</v>
      </c>
      <c r="BB40" s="118">
        <v>12758</v>
      </c>
      <c r="BC40" s="118"/>
      <c r="BD40" s="118"/>
      <c r="BE40" s="118"/>
      <c r="BF40" s="276">
        <f t="shared" si="39"/>
        <v>940621.51664127619</v>
      </c>
      <c r="BG40" s="276">
        <f t="shared" si="32"/>
        <v>112288.99733333343</v>
      </c>
      <c r="BH40" s="276">
        <f t="shared" si="33"/>
        <v>172767</v>
      </c>
      <c r="BI40" s="276">
        <f t="shared" si="34"/>
        <v>45827.747333333333</v>
      </c>
      <c r="BJ40" s="276">
        <f t="shared" si="63"/>
        <v>1225677.5139746096</v>
      </c>
      <c r="BK40" s="276">
        <v>1052910.51</v>
      </c>
      <c r="BL40" s="119">
        <v>4194.8626100000001</v>
      </c>
      <c r="BM40" s="119">
        <v>4105.9911899999997</v>
      </c>
      <c r="BN40" s="228">
        <v>2.1644327272364955E-2</v>
      </c>
      <c r="BO40" s="228">
        <v>0</v>
      </c>
      <c r="BP40" s="119">
        <v>0</v>
      </c>
      <c r="BQ40" s="281">
        <f t="shared" si="64"/>
        <v>1225677.5139746096</v>
      </c>
      <c r="BR40" s="119">
        <v>-549.68999999999994</v>
      </c>
      <c r="BS40" s="119">
        <v>-318.77</v>
      </c>
      <c r="BT40" s="120">
        <f t="shared" si="65"/>
        <v>1224809.0539746096</v>
      </c>
      <c r="BU40" s="229"/>
      <c r="BV40" s="366">
        <f>VLOOKUP(B40,EYSFF!$A$4:$Z$61,23,0)</f>
        <v>194376.38793961803</v>
      </c>
      <c r="BW40" s="105">
        <f>VLOOKUP(B40,EYSFF!$A$4:$AA$61,24,0)</f>
        <v>58391.293957667513</v>
      </c>
      <c r="BX40" s="303"/>
      <c r="BY40" s="303"/>
      <c r="BZ40" s="107">
        <v>4166.666666666667</v>
      </c>
      <c r="CA40" s="273"/>
      <c r="CB40" s="314">
        <f>$I40*1345</f>
        <v>40350.000000000131</v>
      </c>
      <c r="CC40" s="315">
        <v>0</v>
      </c>
      <c r="CD40" s="315">
        <v>0</v>
      </c>
      <c r="CE40" s="303"/>
      <c r="CF40" s="303"/>
      <c r="CG40" s="315">
        <v>7400</v>
      </c>
      <c r="CH40" s="322">
        <v>69581</v>
      </c>
      <c r="CI40" s="105"/>
      <c r="CJ40" s="303"/>
      <c r="CK40" s="305"/>
      <c r="CL40" s="2"/>
    </row>
    <row r="41" spans="1:90" ht="14.5" thickBot="1" x14ac:dyDescent="0.3">
      <c r="A41" s="48">
        <v>3122032</v>
      </c>
      <c r="B41" s="135">
        <v>2032</v>
      </c>
      <c r="C41" s="98" t="s">
        <v>124</v>
      </c>
      <c r="D41" s="136">
        <v>330</v>
      </c>
      <c r="E41" s="136">
        <v>330</v>
      </c>
      <c r="F41" s="136">
        <v>0</v>
      </c>
      <c r="G41" s="136">
        <v>0</v>
      </c>
      <c r="H41" s="136">
        <v>0</v>
      </c>
      <c r="I41" s="136">
        <v>60.632530120481931</v>
      </c>
      <c r="J41" s="136">
        <v>0</v>
      </c>
      <c r="K41" s="136">
        <v>20.999999999999989</v>
      </c>
      <c r="L41" s="136">
        <v>3</v>
      </c>
      <c r="M41" s="136">
        <v>0</v>
      </c>
      <c r="N41" s="136">
        <v>0</v>
      </c>
      <c r="O41" s="136">
        <v>0</v>
      </c>
      <c r="P41" s="136">
        <v>0</v>
      </c>
      <c r="Q41" s="136">
        <v>0</v>
      </c>
      <c r="R41" s="136">
        <v>0</v>
      </c>
      <c r="S41" s="136">
        <v>0</v>
      </c>
      <c r="T41" s="136">
        <v>0</v>
      </c>
      <c r="U41" s="136">
        <v>0</v>
      </c>
      <c r="V41" s="136">
        <v>0</v>
      </c>
      <c r="W41" s="136">
        <v>24.072948328267476</v>
      </c>
      <c r="X41" s="136">
        <v>0</v>
      </c>
      <c r="Y41" s="136">
        <v>99.868421052631575</v>
      </c>
      <c r="Z41" s="136">
        <v>0</v>
      </c>
      <c r="AA41" s="136">
        <v>0</v>
      </c>
      <c r="AB41" s="136">
        <v>0</v>
      </c>
      <c r="AC41" s="226">
        <f t="shared" si="40"/>
        <v>1236673.7071379328</v>
      </c>
      <c r="AD41" s="226">
        <f t="shared" si="41"/>
        <v>0</v>
      </c>
      <c r="AE41" s="226">
        <f t="shared" si="42"/>
        <v>0</v>
      </c>
      <c r="AF41" s="226">
        <f t="shared" si="43"/>
        <v>67354.858734939757</v>
      </c>
      <c r="AG41" s="226">
        <f t="shared" si="44"/>
        <v>0</v>
      </c>
      <c r="AH41" s="118">
        <f t="shared" si="45"/>
        <v>2210.2499999999991</v>
      </c>
      <c r="AI41" s="118">
        <f t="shared" si="46"/>
        <v>631.5</v>
      </c>
      <c r="AJ41" s="118">
        <f t="shared" si="47"/>
        <v>0</v>
      </c>
      <c r="AK41" s="118">
        <f t="shared" si="48"/>
        <v>0</v>
      </c>
      <c r="AL41" s="118">
        <f t="shared" si="49"/>
        <v>0</v>
      </c>
      <c r="AM41" s="118">
        <f t="shared" si="50"/>
        <v>0</v>
      </c>
      <c r="AN41" s="118">
        <f t="shared" si="51"/>
        <v>0</v>
      </c>
      <c r="AO41" s="118">
        <f t="shared" si="52"/>
        <v>0</v>
      </c>
      <c r="AP41" s="118">
        <f t="shared" si="53"/>
        <v>0</v>
      </c>
      <c r="AQ41" s="118">
        <f t="shared" si="54"/>
        <v>0</v>
      </c>
      <c r="AR41" s="118">
        <f t="shared" si="55"/>
        <v>0</v>
      </c>
      <c r="AS41" s="118">
        <f t="shared" si="56"/>
        <v>0</v>
      </c>
      <c r="AT41" s="118">
        <f t="shared" si="57"/>
        <v>19058.553191489362</v>
      </c>
      <c r="AU41" s="118">
        <f t="shared" si="58"/>
        <v>0</v>
      </c>
      <c r="AV41" s="118">
        <f t="shared" si="59"/>
        <v>63117.840789473681</v>
      </c>
      <c r="AW41" s="118">
        <f t="shared" si="60"/>
        <v>0</v>
      </c>
      <c r="AX41" s="118">
        <f t="shared" si="61"/>
        <v>0</v>
      </c>
      <c r="AY41" s="118">
        <f t="shared" si="62"/>
        <v>0</v>
      </c>
      <c r="AZ41" s="118">
        <v>140000</v>
      </c>
      <c r="BA41" s="118">
        <v>20009</v>
      </c>
      <c r="BB41" s="118">
        <v>12758</v>
      </c>
      <c r="BC41" s="118"/>
      <c r="BD41" s="118"/>
      <c r="BE41" s="118"/>
      <c r="BF41" s="276">
        <f t="shared" si="39"/>
        <v>1236673.7071379328</v>
      </c>
      <c r="BG41" s="276">
        <f t="shared" si="32"/>
        <v>152373.00271590281</v>
      </c>
      <c r="BH41" s="276">
        <f t="shared" si="33"/>
        <v>172767</v>
      </c>
      <c r="BI41" s="276">
        <f t="shared" si="34"/>
        <v>63117.840789473681</v>
      </c>
      <c r="BJ41" s="276">
        <f t="shared" si="63"/>
        <v>1561813.7098538356</v>
      </c>
      <c r="BK41" s="276">
        <v>1389046.71</v>
      </c>
      <c r="BL41" s="119">
        <v>4209.2324500000004</v>
      </c>
      <c r="BM41" s="119">
        <v>4097.8015599999999</v>
      </c>
      <c r="BN41" s="228">
        <v>2.7192848670388407E-2</v>
      </c>
      <c r="BO41" s="228">
        <v>0</v>
      </c>
      <c r="BP41" s="119">
        <v>0</v>
      </c>
      <c r="BQ41" s="281">
        <f t="shared" si="64"/>
        <v>1561813.7098538356</v>
      </c>
      <c r="BR41" s="119">
        <v>-722.69999999999993</v>
      </c>
      <c r="BS41" s="119">
        <v>-419.1</v>
      </c>
      <c r="BT41" s="120">
        <f t="shared" si="65"/>
        <v>1560671.9098538356</v>
      </c>
      <c r="BU41" s="229"/>
      <c r="BV41" s="302"/>
      <c r="BW41" s="303"/>
      <c r="BX41" s="303"/>
      <c r="BY41" s="303"/>
      <c r="BZ41" s="107">
        <v>51741.666666666664</v>
      </c>
      <c r="CA41" s="273"/>
      <c r="CB41" s="314">
        <f>$I41*1345</f>
        <v>81550.753012048197</v>
      </c>
      <c r="CC41" s="315">
        <v>310</v>
      </c>
      <c r="CD41" s="315">
        <v>2345</v>
      </c>
      <c r="CE41" s="303"/>
      <c r="CF41" s="303"/>
      <c r="CG41" s="315">
        <v>8050</v>
      </c>
      <c r="CH41" s="303"/>
      <c r="CI41" s="105"/>
      <c r="CJ41" s="303"/>
      <c r="CK41" s="305"/>
      <c r="CL41" s="2"/>
    </row>
    <row r="42" spans="1:90" ht="14.5" thickBot="1" x14ac:dyDescent="0.3">
      <c r="A42" s="48">
        <v>3122028</v>
      </c>
      <c r="B42" s="135">
        <v>2028</v>
      </c>
      <c r="C42" s="98" t="s">
        <v>126</v>
      </c>
      <c r="D42" s="136">
        <v>602</v>
      </c>
      <c r="E42" s="136">
        <v>602</v>
      </c>
      <c r="F42" s="136">
        <v>0</v>
      </c>
      <c r="G42" s="136">
        <v>0</v>
      </c>
      <c r="H42" s="136">
        <v>0</v>
      </c>
      <c r="I42" s="136">
        <v>138.99999999999974</v>
      </c>
      <c r="J42" s="136">
        <v>0</v>
      </c>
      <c r="K42" s="136">
        <v>123.20465890183037</v>
      </c>
      <c r="L42" s="136">
        <v>248.41264559068196</v>
      </c>
      <c r="M42" s="136">
        <v>3.0049916805324437</v>
      </c>
      <c r="N42" s="136">
        <v>0</v>
      </c>
      <c r="O42" s="136">
        <v>1.0016638935108166</v>
      </c>
      <c r="P42" s="136">
        <v>0</v>
      </c>
      <c r="Q42" s="136">
        <v>0</v>
      </c>
      <c r="R42" s="136">
        <v>0</v>
      </c>
      <c r="S42" s="136">
        <v>0</v>
      </c>
      <c r="T42" s="136">
        <v>0</v>
      </c>
      <c r="U42" s="136">
        <v>0</v>
      </c>
      <c r="V42" s="136">
        <v>0</v>
      </c>
      <c r="W42" s="136">
        <v>218.1666666666668</v>
      </c>
      <c r="X42" s="136">
        <v>0</v>
      </c>
      <c r="Y42" s="136">
        <v>186.60721868365181</v>
      </c>
      <c r="Z42" s="136">
        <v>0</v>
      </c>
      <c r="AA42" s="136">
        <v>2.8800000000000145</v>
      </c>
      <c r="AB42" s="136">
        <v>0</v>
      </c>
      <c r="AC42" s="226">
        <f t="shared" si="40"/>
        <v>2255992.6415061685</v>
      </c>
      <c r="AD42" s="226">
        <f t="shared" si="41"/>
        <v>0</v>
      </c>
      <c r="AE42" s="226">
        <f t="shared" si="42"/>
        <v>0</v>
      </c>
      <c r="AF42" s="226">
        <f t="shared" si="43"/>
        <v>154410.9299999997</v>
      </c>
      <c r="AG42" s="226">
        <f t="shared" si="44"/>
        <v>0</v>
      </c>
      <c r="AH42" s="118">
        <f t="shared" si="45"/>
        <v>12967.290349417646</v>
      </c>
      <c r="AI42" s="118">
        <f t="shared" si="46"/>
        <v>52290.861896838556</v>
      </c>
      <c r="AJ42" s="118">
        <f t="shared" si="47"/>
        <v>948.82612312811909</v>
      </c>
      <c r="AK42" s="118">
        <f t="shared" si="48"/>
        <v>0</v>
      </c>
      <c r="AL42" s="118">
        <f t="shared" si="49"/>
        <v>527.12562396006729</v>
      </c>
      <c r="AM42" s="118">
        <f t="shared" si="50"/>
        <v>0</v>
      </c>
      <c r="AN42" s="118">
        <f t="shared" si="51"/>
        <v>0</v>
      </c>
      <c r="AO42" s="118">
        <f t="shared" si="52"/>
        <v>0</v>
      </c>
      <c r="AP42" s="118">
        <f t="shared" si="53"/>
        <v>0</v>
      </c>
      <c r="AQ42" s="118">
        <f t="shared" si="54"/>
        <v>0</v>
      </c>
      <c r="AR42" s="118">
        <f t="shared" si="55"/>
        <v>0</v>
      </c>
      <c r="AS42" s="118">
        <f t="shared" si="56"/>
        <v>0</v>
      </c>
      <c r="AT42" s="118">
        <f t="shared" si="57"/>
        <v>172722.5500000001</v>
      </c>
      <c r="AU42" s="118">
        <f t="shared" si="58"/>
        <v>0</v>
      </c>
      <c r="AV42" s="118">
        <f t="shared" si="59"/>
        <v>117937.62828025478</v>
      </c>
      <c r="AW42" s="118">
        <f t="shared" si="60"/>
        <v>0</v>
      </c>
      <c r="AX42" s="118">
        <f t="shared" si="61"/>
        <v>2848.6080000000143</v>
      </c>
      <c r="AY42" s="118">
        <f t="shared" si="62"/>
        <v>0</v>
      </c>
      <c r="AZ42" s="118">
        <v>140000</v>
      </c>
      <c r="BA42" s="118">
        <v>19803</v>
      </c>
      <c r="BB42" s="118">
        <v>2903</v>
      </c>
      <c r="BC42" s="118"/>
      <c r="BD42" s="118"/>
      <c r="BE42" s="118">
        <v>-68188.800000000003</v>
      </c>
      <c r="BF42" s="276">
        <f t="shared" si="39"/>
        <v>2255992.6415061685</v>
      </c>
      <c r="BG42" s="276">
        <f t="shared" si="32"/>
        <v>514653.82027359901</v>
      </c>
      <c r="BH42" s="276">
        <f t="shared" si="33"/>
        <v>94517.2</v>
      </c>
      <c r="BI42" s="276">
        <f t="shared" si="34"/>
        <v>117937.62828025478</v>
      </c>
      <c r="BJ42" s="276">
        <f t="shared" si="63"/>
        <v>2865163.6617797678</v>
      </c>
      <c r="BK42" s="276">
        <v>2770646.46</v>
      </c>
      <c r="BL42" s="119">
        <v>4602.4027599999999</v>
      </c>
      <c r="BM42" s="119">
        <v>4397.5901700000004</v>
      </c>
      <c r="BN42" s="228">
        <v>4.657382309826287E-2</v>
      </c>
      <c r="BO42" s="228">
        <v>0</v>
      </c>
      <c r="BP42" s="119">
        <v>0</v>
      </c>
      <c r="BQ42" s="281">
        <f t="shared" si="64"/>
        <v>2865163.6617797678</v>
      </c>
      <c r="BR42" s="119">
        <v>0</v>
      </c>
      <c r="BS42" s="119">
        <v>0</v>
      </c>
      <c r="BT42" s="120">
        <f t="shared" si="65"/>
        <v>2865163.6617797678</v>
      </c>
      <c r="BU42" s="229"/>
      <c r="BV42" s="366">
        <f>VLOOKUP(B42,EYSFF!$A$4:$Z$61,23,0)</f>
        <v>251115.34423257326</v>
      </c>
      <c r="BW42" s="105">
        <f>VLOOKUP(B42,EYSFF!$A$4:$AA$61,24,0)</f>
        <v>0</v>
      </c>
      <c r="BX42" s="303"/>
      <c r="BY42" s="303"/>
      <c r="BZ42" s="107">
        <v>259533.33333333331</v>
      </c>
      <c r="CB42" s="302"/>
      <c r="CC42" s="303"/>
      <c r="CD42" s="303"/>
      <c r="CE42" s="303"/>
      <c r="CF42" s="303"/>
      <c r="CG42" s="303"/>
      <c r="CH42" s="303"/>
      <c r="CI42" s="303"/>
      <c r="CJ42" s="303"/>
      <c r="CK42" s="305"/>
      <c r="CL42" s="2"/>
    </row>
    <row r="43" spans="1:90" ht="14.5" thickBot="1" x14ac:dyDescent="0.3">
      <c r="A43" s="48">
        <v>3122017</v>
      </c>
      <c r="B43" s="135">
        <v>2017</v>
      </c>
      <c r="C43" s="98" t="s">
        <v>127</v>
      </c>
      <c r="D43" s="136">
        <v>289</v>
      </c>
      <c r="E43" s="136">
        <v>289</v>
      </c>
      <c r="F43" s="136">
        <v>0</v>
      </c>
      <c r="G43" s="136">
        <v>0</v>
      </c>
      <c r="H43" s="136">
        <v>0</v>
      </c>
      <c r="I43" s="136">
        <v>106.47368421052632</v>
      </c>
      <c r="J43" s="136">
        <v>0</v>
      </c>
      <c r="K43" s="136">
        <v>48.000000000000036</v>
      </c>
      <c r="L43" s="136">
        <v>131.00000000000003</v>
      </c>
      <c r="M43" s="136">
        <v>6.0000000000000044</v>
      </c>
      <c r="N43" s="136">
        <v>56.000000000000043</v>
      </c>
      <c r="O43" s="136">
        <v>0</v>
      </c>
      <c r="P43" s="136">
        <v>0</v>
      </c>
      <c r="Q43" s="136">
        <v>0</v>
      </c>
      <c r="R43" s="136">
        <v>0</v>
      </c>
      <c r="S43" s="136">
        <v>0</v>
      </c>
      <c r="T43" s="136">
        <v>0</v>
      </c>
      <c r="U43" s="136">
        <v>0</v>
      </c>
      <c r="V43" s="136">
        <v>0</v>
      </c>
      <c r="W43" s="136">
        <v>97.142857142857267</v>
      </c>
      <c r="X43" s="136">
        <v>0</v>
      </c>
      <c r="Y43" s="136">
        <v>93.414141414141426</v>
      </c>
      <c r="Z43" s="136">
        <v>0</v>
      </c>
      <c r="AA43" s="136">
        <v>2.6600000000000144</v>
      </c>
      <c r="AB43" s="136">
        <v>0</v>
      </c>
      <c r="AC43" s="226">
        <f t="shared" si="40"/>
        <v>1083026.3677662502</v>
      </c>
      <c r="AD43" s="226">
        <f t="shared" si="41"/>
        <v>0</v>
      </c>
      <c r="AE43" s="226">
        <f t="shared" si="42"/>
        <v>0</v>
      </c>
      <c r="AF43" s="226">
        <f t="shared" si="43"/>
        <v>118278.42157894735</v>
      </c>
      <c r="AG43" s="226">
        <f t="shared" si="44"/>
        <v>0</v>
      </c>
      <c r="AH43" s="118">
        <f t="shared" si="45"/>
        <v>5052.0000000000036</v>
      </c>
      <c r="AI43" s="118">
        <f t="shared" si="46"/>
        <v>27575.500000000007</v>
      </c>
      <c r="AJ43" s="118">
        <f t="shared" si="47"/>
        <v>1894.5000000000014</v>
      </c>
      <c r="AK43" s="118">
        <f t="shared" si="48"/>
        <v>23576.000000000018</v>
      </c>
      <c r="AL43" s="118">
        <f t="shared" si="49"/>
        <v>0</v>
      </c>
      <c r="AM43" s="118">
        <f t="shared" si="50"/>
        <v>0</v>
      </c>
      <c r="AN43" s="118">
        <f t="shared" si="51"/>
        <v>0</v>
      </c>
      <c r="AO43" s="118">
        <f t="shared" si="52"/>
        <v>0</v>
      </c>
      <c r="AP43" s="118">
        <f t="shared" si="53"/>
        <v>0</v>
      </c>
      <c r="AQ43" s="118">
        <f t="shared" si="54"/>
        <v>0</v>
      </c>
      <c r="AR43" s="118">
        <f t="shared" si="55"/>
        <v>0</v>
      </c>
      <c r="AS43" s="118">
        <f t="shared" si="56"/>
        <v>0</v>
      </c>
      <c r="AT43" s="118">
        <f t="shared" si="57"/>
        <v>76908.000000000102</v>
      </c>
      <c r="AU43" s="118">
        <f t="shared" si="58"/>
        <v>0</v>
      </c>
      <c r="AV43" s="118">
        <f t="shared" si="59"/>
        <v>59038.671515151524</v>
      </c>
      <c r="AW43" s="118">
        <f t="shared" si="60"/>
        <v>0</v>
      </c>
      <c r="AX43" s="118">
        <f t="shared" si="61"/>
        <v>2631.0060000000144</v>
      </c>
      <c r="AY43" s="118">
        <f t="shared" si="62"/>
        <v>0</v>
      </c>
      <c r="AZ43" s="118">
        <v>140000</v>
      </c>
      <c r="BA43" s="118">
        <v>7435</v>
      </c>
      <c r="BB43" s="118">
        <v>-869</v>
      </c>
      <c r="BC43" s="118"/>
      <c r="BD43" s="118"/>
      <c r="BE43" s="118"/>
      <c r="BF43" s="276">
        <f t="shared" si="39"/>
        <v>1083026.3677662502</v>
      </c>
      <c r="BG43" s="276">
        <f t="shared" si="32"/>
        <v>314954.09909409902</v>
      </c>
      <c r="BH43" s="276">
        <f t="shared" si="33"/>
        <v>146566</v>
      </c>
      <c r="BI43" s="276">
        <f t="shared" si="34"/>
        <v>59038.671515151524</v>
      </c>
      <c r="BJ43" s="276">
        <f t="shared" si="63"/>
        <v>1544546.4668603493</v>
      </c>
      <c r="BK43" s="276">
        <v>1397980.47</v>
      </c>
      <c r="BL43" s="119">
        <v>4837.3026499999996</v>
      </c>
      <c r="BM43" s="119">
        <v>4812.5258800000001</v>
      </c>
      <c r="BN43" s="228">
        <v>5.1483918316184065E-3</v>
      </c>
      <c r="BO43" s="228">
        <v>0</v>
      </c>
      <c r="BP43" s="119">
        <v>0</v>
      </c>
      <c r="BQ43" s="281">
        <f t="shared" si="64"/>
        <v>1544546.4668603493</v>
      </c>
      <c r="BR43" s="119">
        <v>0</v>
      </c>
      <c r="BS43" s="119">
        <v>0</v>
      </c>
      <c r="BT43" s="120">
        <f t="shared" si="65"/>
        <v>1544546.4668603493</v>
      </c>
      <c r="BU43" s="131"/>
      <c r="BV43" s="366">
        <f>VLOOKUP(B43,EYSFF!$A$4:$Z$61,23,0)</f>
        <v>142872.614169323</v>
      </c>
      <c r="BW43" s="105">
        <f>VLOOKUP(B43,EYSFF!$A$4:$AA$61,24,0)</f>
        <v>26474.510791426055</v>
      </c>
      <c r="BX43" s="303"/>
      <c r="BY43" s="303"/>
      <c r="BZ43" s="107">
        <v>74458.333333333343</v>
      </c>
      <c r="CB43" s="302"/>
      <c r="CC43" s="303"/>
      <c r="CD43" s="303"/>
      <c r="CE43" s="303"/>
      <c r="CF43" s="303"/>
      <c r="CG43" s="303"/>
      <c r="CH43" s="303"/>
      <c r="CI43" s="303"/>
      <c r="CJ43" s="303"/>
      <c r="CK43" s="305"/>
      <c r="CL43" s="2"/>
    </row>
    <row r="44" spans="1:90" ht="14.5" thickBot="1" x14ac:dyDescent="0.3">
      <c r="A44" s="48">
        <v>3122037</v>
      </c>
      <c r="B44" s="135">
        <v>2037</v>
      </c>
      <c r="C44" s="98" t="s">
        <v>129</v>
      </c>
      <c r="D44" s="136">
        <v>317</v>
      </c>
      <c r="E44" s="136">
        <v>317</v>
      </c>
      <c r="F44" s="136">
        <v>0</v>
      </c>
      <c r="G44" s="136">
        <v>0</v>
      </c>
      <c r="H44" s="136">
        <v>0</v>
      </c>
      <c r="I44" s="136">
        <v>86.098765432098759</v>
      </c>
      <c r="J44" s="136">
        <v>0</v>
      </c>
      <c r="K44" s="136">
        <v>105.99999999999999</v>
      </c>
      <c r="L44" s="136">
        <v>141.99999999999997</v>
      </c>
      <c r="M44" s="136">
        <v>0.99999999999999889</v>
      </c>
      <c r="N44" s="136">
        <v>0</v>
      </c>
      <c r="O44" s="136">
        <v>0</v>
      </c>
      <c r="P44" s="136">
        <v>0</v>
      </c>
      <c r="Q44" s="136">
        <v>0</v>
      </c>
      <c r="R44" s="136">
        <v>0</v>
      </c>
      <c r="S44" s="136">
        <v>0</v>
      </c>
      <c r="T44" s="136">
        <v>0</v>
      </c>
      <c r="U44" s="136">
        <v>0</v>
      </c>
      <c r="V44" s="136">
        <v>0</v>
      </c>
      <c r="W44" s="136">
        <v>255.4466019417477</v>
      </c>
      <c r="X44" s="136">
        <v>0</v>
      </c>
      <c r="Y44" s="136">
        <v>85.59</v>
      </c>
      <c r="Z44" s="136">
        <v>0</v>
      </c>
      <c r="AA44" s="136">
        <v>0</v>
      </c>
      <c r="AB44" s="136">
        <v>0</v>
      </c>
      <c r="AC44" s="226">
        <f t="shared" si="40"/>
        <v>1187956.2580688626</v>
      </c>
      <c r="AD44" s="226">
        <f t="shared" si="41"/>
        <v>0</v>
      </c>
      <c r="AE44" s="226">
        <f t="shared" si="42"/>
        <v>0</v>
      </c>
      <c r="AF44" s="226">
        <f t="shared" si="43"/>
        <v>95644.535555555543</v>
      </c>
      <c r="AG44" s="226">
        <f t="shared" si="44"/>
        <v>0</v>
      </c>
      <c r="AH44" s="118">
        <f t="shared" si="45"/>
        <v>11156.499999999998</v>
      </c>
      <c r="AI44" s="118">
        <f t="shared" si="46"/>
        <v>29890.999999999993</v>
      </c>
      <c r="AJ44" s="118">
        <f t="shared" si="47"/>
        <v>315.74999999999966</v>
      </c>
      <c r="AK44" s="118">
        <f t="shared" si="48"/>
        <v>0</v>
      </c>
      <c r="AL44" s="118">
        <f t="shared" si="49"/>
        <v>0</v>
      </c>
      <c r="AM44" s="118">
        <f t="shared" si="50"/>
        <v>0</v>
      </c>
      <c r="AN44" s="118">
        <f t="shared" si="51"/>
        <v>0</v>
      </c>
      <c r="AO44" s="118">
        <f t="shared" si="52"/>
        <v>0</v>
      </c>
      <c r="AP44" s="118">
        <f t="shared" si="53"/>
        <v>0</v>
      </c>
      <c r="AQ44" s="118">
        <f t="shared" si="54"/>
        <v>0</v>
      </c>
      <c r="AR44" s="118">
        <f t="shared" si="55"/>
        <v>0</v>
      </c>
      <c r="AS44" s="118">
        <f t="shared" si="56"/>
        <v>0</v>
      </c>
      <c r="AT44" s="118">
        <f t="shared" si="57"/>
        <v>202237.07475728166</v>
      </c>
      <c r="AU44" s="118">
        <f t="shared" si="58"/>
        <v>0</v>
      </c>
      <c r="AV44" s="118">
        <f t="shared" si="59"/>
        <v>54093.7359</v>
      </c>
      <c r="AW44" s="118">
        <f t="shared" si="60"/>
        <v>0</v>
      </c>
      <c r="AX44" s="118">
        <f t="shared" si="61"/>
        <v>0</v>
      </c>
      <c r="AY44" s="118">
        <f t="shared" si="62"/>
        <v>0</v>
      </c>
      <c r="AZ44" s="118">
        <v>140000</v>
      </c>
      <c r="BA44" s="118">
        <v>31920</v>
      </c>
      <c r="BB44" s="118">
        <v>1920</v>
      </c>
      <c r="BC44" s="118"/>
      <c r="BD44" s="118"/>
      <c r="BE44" s="118"/>
      <c r="BF44" s="276">
        <f t="shared" si="39"/>
        <v>1187956.2580688626</v>
      </c>
      <c r="BG44" s="276">
        <f t="shared" si="32"/>
        <v>393338.59621283715</v>
      </c>
      <c r="BH44" s="276">
        <f t="shared" si="33"/>
        <v>173840</v>
      </c>
      <c r="BI44" s="276">
        <f t="shared" si="34"/>
        <v>54093.7359</v>
      </c>
      <c r="BJ44" s="276">
        <f t="shared" si="63"/>
        <v>1755134.8542816998</v>
      </c>
      <c r="BK44" s="276">
        <v>1581294.85</v>
      </c>
      <c r="BL44" s="119">
        <v>4988.3118400000003</v>
      </c>
      <c r="BM44" s="119">
        <v>4852.2538199999999</v>
      </c>
      <c r="BN44" s="228">
        <v>2.80401705293956E-2</v>
      </c>
      <c r="BO44" s="228">
        <v>0</v>
      </c>
      <c r="BP44" s="119">
        <v>0</v>
      </c>
      <c r="BQ44" s="281">
        <f t="shared" si="64"/>
        <v>1755134.8542816998</v>
      </c>
      <c r="BR44" s="119">
        <v>-694.23</v>
      </c>
      <c r="BS44" s="119">
        <v>-402.59000000000003</v>
      </c>
      <c r="BT44" s="120">
        <f t="shared" si="65"/>
        <v>1754038.0342816997</v>
      </c>
      <c r="BU44" s="229"/>
      <c r="BV44" s="366">
        <f>VLOOKUP(B44,EYSFF!$A$4:$Z$61,23,0)</f>
        <v>319704.4658031803</v>
      </c>
      <c r="BW44" s="105">
        <f>VLOOKUP(B44,EYSFF!$A$4:$AA$61,24,0)</f>
        <v>0</v>
      </c>
      <c r="BX44" s="303"/>
      <c r="BY44" s="303"/>
      <c r="BZ44" s="107">
        <v>84708.333333333328</v>
      </c>
      <c r="CA44" s="273"/>
      <c r="CB44" s="314">
        <f>$I44*1345</f>
        <v>115802.83950617284</v>
      </c>
      <c r="CC44" s="315">
        <v>0</v>
      </c>
      <c r="CD44" s="315">
        <v>0</v>
      </c>
      <c r="CE44" s="303"/>
      <c r="CF44" s="303"/>
      <c r="CG44" s="315">
        <v>7608</v>
      </c>
      <c r="CH44" s="322">
        <v>99814</v>
      </c>
      <c r="CI44" s="105"/>
      <c r="CJ44" s="303"/>
      <c r="CK44" s="305"/>
      <c r="CL44" s="2"/>
    </row>
    <row r="45" spans="1:90" ht="14.5" thickBot="1" x14ac:dyDescent="0.3">
      <c r="A45" s="48">
        <v>3122036</v>
      </c>
      <c r="B45" s="135">
        <v>2036</v>
      </c>
      <c r="C45" s="98" t="s">
        <v>131</v>
      </c>
      <c r="D45" s="136">
        <v>418</v>
      </c>
      <c r="E45" s="136">
        <v>418</v>
      </c>
      <c r="F45" s="136">
        <v>0</v>
      </c>
      <c r="G45" s="136">
        <v>0</v>
      </c>
      <c r="H45" s="136">
        <v>0</v>
      </c>
      <c r="I45" s="136">
        <v>133.44600938967136</v>
      </c>
      <c r="J45" s="136">
        <v>0</v>
      </c>
      <c r="K45" s="136">
        <v>123.99999999999989</v>
      </c>
      <c r="L45" s="136">
        <v>195.9999999999998</v>
      </c>
      <c r="M45" s="136">
        <v>0</v>
      </c>
      <c r="N45" s="136">
        <v>0</v>
      </c>
      <c r="O45" s="136">
        <v>1.000000000000002</v>
      </c>
      <c r="P45" s="136">
        <v>0</v>
      </c>
      <c r="Q45" s="136">
        <v>0</v>
      </c>
      <c r="R45" s="136">
        <v>0</v>
      </c>
      <c r="S45" s="136">
        <v>0</v>
      </c>
      <c r="T45" s="136">
        <v>0</v>
      </c>
      <c r="U45" s="136">
        <v>0</v>
      </c>
      <c r="V45" s="136">
        <v>0</v>
      </c>
      <c r="W45" s="136">
        <v>129.0000000000002</v>
      </c>
      <c r="X45" s="136">
        <v>0</v>
      </c>
      <c r="Y45" s="136">
        <v>135.66666666666666</v>
      </c>
      <c r="Z45" s="136">
        <v>0</v>
      </c>
      <c r="AA45" s="136">
        <v>0</v>
      </c>
      <c r="AB45" s="136">
        <v>0</v>
      </c>
      <c r="AC45" s="226">
        <f t="shared" si="40"/>
        <v>1566453.3623747148</v>
      </c>
      <c r="AD45" s="226">
        <f t="shared" si="41"/>
        <v>0</v>
      </c>
      <c r="AE45" s="226">
        <f t="shared" si="42"/>
        <v>0</v>
      </c>
      <c r="AF45" s="226">
        <f t="shared" si="43"/>
        <v>148241.16845070422</v>
      </c>
      <c r="AG45" s="226">
        <f t="shared" si="44"/>
        <v>0</v>
      </c>
      <c r="AH45" s="118">
        <f t="shared" si="45"/>
        <v>13050.999999999987</v>
      </c>
      <c r="AI45" s="118">
        <f t="shared" si="46"/>
        <v>41257.999999999956</v>
      </c>
      <c r="AJ45" s="118">
        <f t="shared" si="47"/>
        <v>0</v>
      </c>
      <c r="AK45" s="118">
        <f t="shared" si="48"/>
        <v>0</v>
      </c>
      <c r="AL45" s="118">
        <f t="shared" si="49"/>
        <v>526.25000000000102</v>
      </c>
      <c r="AM45" s="118">
        <f t="shared" si="50"/>
        <v>0</v>
      </c>
      <c r="AN45" s="118">
        <f t="shared" si="51"/>
        <v>0</v>
      </c>
      <c r="AO45" s="118">
        <f t="shared" si="52"/>
        <v>0</v>
      </c>
      <c r="AP45" s="118">
        <f t="shared" si="53"/>
        <v>0</v>
      </c>
      <c r="AQ45" s="118">
        <f t="shared" si="54"/>
        <v>0</v>
      </c>
      <c r="AR45" s="118">
        <f t="shared" si="55"/>
        <v>0</v>
      </c>
      <c r="AS45" s="118">
        <f t="shared" si="56"/>
        <v>0</v>
      </c>
      <c r="AT45" s="118">
        <f t="shared" si="57"/>
        <v>102129.30000000016</v>
      </c>
      <c r="AU45" s="118">
        <f t="shared" si="58"/>
        <v>0</v>
      </c>
      <c r="AV45" s="118">
        <f t="shared" si="59"/>
        <v>85742.689999999988</v>
      </c>
      <c r="AW45" s="118">
        <f t="shared" si="60"/>
        <v>0</v>
      </c>
      <c r="AX45" s="118">
        <f t="shared" si="61"/>
        <v>0</v>
      </c>
      <c r="AY45" s="118">
        <f t="shared" si="62"/>
        <v>0</v>
      </c>
      <c r="AZ45" s="118">
        <v>140000</v>
      </c>
      <c r="BA45" s="118">
        <v>31920</v>
      </c>
      <c r="BB45" s="118">
        <v>1920</v>
      </c>
      <c r="BC45" s="118"/>
      <c r="BD45" s="118"/>
      <c r="BE45" s="118"/>
      <c r="BF45" s="276">
        <f t="shared" si="39"/>
        <v>1566453.3623747148</v>
      </c>
      <c r="BG45" s="276">
        <f t="shared" si="32"/>
        <v>390948.40845070436</v>
      </c>
      <c r="BH45" s="276">
        <f t="shared" si="33"/>
        <v>173840</v>
      </c>
      <c r="BI45" s="276">
        <f t="shared" ref="BI45:BI54" si="66">SUM(AV45:AW45)</f>
        <v>85742.689999999988</v>
      </c>
      <c r="BJ45" s="276">
        <f t="shared" si="63"/>
        <v>2131241.7708254191</v>
      </c>
      <c r="BK45" s="276">
        <v>1957401.77</v>
      </c>
      <c r="BL45" s="119">
        <v>4682.7793600000005</v>
      </c>
      <c r="BM45" s="119">
        <v>4675.3301199999996</v>
      </c>
      <c r="BN45" s="228">
        <v>1.593306623710384E-3</v>
      </c>
      <c r="BO45" s="228">
        <v>3.4066933762896164E-3</v>
      </c>
      <c r="BP45" s="119">
        <v>6657.66</v>
      </c>
      <c r="BQ45" s="281">
        <f t="shared" si="64"/>
        <v>2137899.4308254193</v>
      </c>
      <c r="BR45" s="119">
        <v>-915.42</v>
      </c>
      <c r="BS45" s="119">
        <v>-530.86</v>
      </c>
      <c r="BT45" s="120">
        <f t="shared" si="65"/>
        <v>2136453.1508254195</v>
      </c>
      <c r="BU45" s="229"/>
      <c r="BV45" s="302"/>
      <c r="BW45" s="303"/>
      <c r="BX45" s="303"/>
      <c r="BY45" s="303"/>
      <c r="BZ45" s="107">
        <v>67841.666666666672</v>
      </c>
      <c r="CA45" s="273"/>
      <c r="CB45" s="314">
        <f>$I45*1345</f>
        <v>179484.88262910797</v>
      </c>
      <c r="CC45" s="315">
        <v>0</v>
      </c>
      <c r="CD45" s="315">
        <v>0</v>
      </c>
      <c r="CE45" s="303"/>
      <c r="CF45" s="303"/>
      <c r="CG45" s="315">
        <v>8442</v>
      </c>
      <c r="CH45" s="322"/>
      <c r="CI45" s="105"/>
      <c r="CJ45" s="303"/>
      <c r="CK45" s="305"/>
      <c r="CL45" s="2"/>
    </row>
    <row r="46" spans="1:90" ht="14.5" thickBot="1" x14ac:dyDescent="0.3">
      <c r="A46" s="48">
        <v>3122022</v>
      </c>
      <c r="B46" s="135">
        <v>2022</v>
      </c>
      <c r="C46" s="98" t="s">
        <v>132</v>
      </c>
      <c r="D46" s="136">
        <v>131</v>
      </c>
      <c r="E46" s="136">
        <v>131</v>
      </c>
      <c r="F46" s="136">
        <v>0</v>
      </c>
      <c r="G46" s="136">
        <v>0</v>
      </c>
      <c r="H46" s="136">
        <v>0</v>
      </c>
      <c r="I46" s="136">
        <v>13.342592592592592</v>
      </c>
      <c r="J46" s="136">
        <v>0</v>
      </c>
      <c r="K46" s="136">
        <v>46.999999999999943</v>
      </c>
      <c r="L46" s="136">
        <v>22.99999999999994</v>
      </c>
      <c r="M46" s="136">
        <v>0</v>
      </c>
      <c r="N46" s="136">
        <v>0</v>
      </c>
      <c r="O46" s="136">
        <v>2.9999999999999969</v>
      </c>
      <c r="P46" s="136">
        <v>0</v>
      </c>
      <c r="Q46" s="136">
        <v>0</v>
      </c>
      <c r="R46" s="136">
        <v>0</v>
      </c>
      <c r="S46" s="136">
        <v>0</v>
      </c>
      <c r="T46" s="136">
        <v>0</v>
      </c>
      <c r="U46" s="136">
        <v>0</v>
      </c>
      <c r="V46" s="136">
        <v>0</v>
      </c>
      <c r="W46" s="136">
        <v>4.9433962264150981</v>
      </c>
      <c r="X46" s="136">
        <v>0</v>
      </c>
      <c r="Y46" s="136">
        <v>25.397959183673468</v>
      </c>
      <c r="Z46" s="136">
        <v>0</v>
      </c>
      <c r="AA46" s="136">
        <v>1.1400000000000026</v>
      </c>
      <c r="AB46" s="136">
        <v>0</v>
      </c>
      <c r="AC46" s="226">
        <f t="shared" si="40"/>
        <v>490921.98677293694</v>
      </c>
      <c r="AD46" s="226">
        <f t="shared" si="41"/>
        <v>0</v>
      </c>
      <c r="AE46" s="226">
        <f t="shared" si="42"/>
        <v>0</v>
      </c>
      <c r="AF46" s="226">
        <f t="shared" si="43"/>
        <v>14821.88583333333</v>
      </c>
      <c r="AG46" s="226">
        <f t="shared" si="44"/>
        <v>0</v>
      </c>
      <c r="AH46" s="118">
        <f t="shared" si="45"/>
        <v>4946.7499999999936</v>
      </c>
      <c r="AI46" s="118">
        <f t="shared" si="46"/>
        <v>4841.4999999999873</v>
      </c>
      <c r="AJ46" s="118">
        <f t="shared" si="47"/>
        <v>0</v>
      </c>
      <c r="AK46" s="118">
        <f t="shared" si="48"/>
        <v>0</v>
      </c>
      <c r="AL46" s="118">
        <f t="shared" si="49"/>
        <v>1578.7499999999984</v>
      </c>
      <c r="AM46" s="118">
        <f t="shared" si="50"/>
        <v>0</v>
      </c>
      <c r="AN46" s="118">
        <f t="shared" si="51"/>
        <v>0</v>
      </c>
      <c r="AO46" s="118">
        <f t="shared" si="52"/>
        <v>0</v>
      </c>
      <c r="AP46" s="118">
        <f t="shared" si="53"/>
        <v>0</v>
      </c>
      <c r="AQ46" s="118">
        <f t="shared" si="54"/>
        <v>0</v>
      </c>
      <c r="AR46" s="118">
        <f t="shared" si="55"/>
        <v>0</v>
      </c>
      <c r="AS46" s="118">
        <f t="shared" si="56"/>
        <v>0</v>
      </c>
      <c r="AT46" s="118">
        <f t="shared" si="57"/>
        <v>3913.6867924528333</v>
      </c>
      <c r="AU46" s="118">
        <f t="shared" si="58"/>
        <v>0</v>
      </c>
      <c r="AV46" s="118">
        <f t="shared" si="59"/>
        <v>16051.764183673467</v>
      </c>
      <c r="AW46" s="118">
        <f t="shared" si="60"/>
        <v>0</v>
      </c>
      <c r="AX46" s="118">
        <f t="shared" si="61"/>
        <v>1127.5740000000026</v>
      </c>
      <c r="AY46" s="118">
        <f t="shared" si="62"/>
        <v>0</v>
      </c>
      <c r="AZ46" s="118">
        <v>140000</v>
      </c>
      <c r="BA46" s="118">
        <v>0</v>
      </c>
      <c r="BB46" s="118">
        <v>0</v>
      </c>
      <c r="BC46" s="118"/>
      <c r="BD46" s="118"/>
      <c r="BE46" s="118"/>
      <c r="BF46" s="276">
        <f t="shared" si="39"/>
        <v>490921.98677293694</v>
      </c>
      <c r="BG46" s="276">
        <f t="shared" si="32"/>
        <v>47281.910809459616</v>
      </c>
      <c r="BH46" s="276">
        <f t="shared" si="33"/>
        <v>140000</v>
      </c>
      <c r="BI46" s="276">
        <f t="shared" si="66"/>
        <v>16051.764183673467</v>
      </c>
      <c r="BJ46" s="276">
        <f t="shared" si="63"/>
        <v>678203.89758239652</v>
      </c>
      <c r="BK46" s="276">
        <v>538203.9</v>
      </c>
      <c r="BL46" s="119">
        <v>4108.4267</v>
      </c>
      <c r="BM46" s="119">
        <v>4047.0734699999998</v>
      </c>
      <c r="BN46" s="228">
        <v>1.5159900488830312E-2</v>
      </c>
      <c r="BO46" s="228">
        <v>0</v>
      </c>
      <c r="BP46" s="119">
        <v>0</v>
      </c>
      <c r="BQ46" s="281">
        <f t="shared" si="64"/>
        <v>678203.89758239652</v>
      </c>
      <c r="BR46" s="119">
        <v>0</v>
      </c>
      <c r="BS46" s="119">
        <v>0</v>
      </c>
      <c r="BT46" s="120">
        <f t="shared" si="65"/>
        <v>678203.89758239652</v>
      </c>
      <c r="BU46" s="131"/>
      <c r="BV46" s="302"/>
      <c r="BW46" s="303"/>
      <c r="BX46" s="303"/>
      <c r="BY46" s="303"/>
      <c r="BZ46" s="107">
        <v>0</v>
      </c>
      <c r="CB46" s="302"/>
      <c r="CC46" s="303"/>
      <c r="CD46" s="303"/>
      <c r="CE46" s="303"/>
      <c r="CF46" s="303"/>
      <c r="CG46" s="303"/>
      <c r="CH46" s="303"/>
      <c r="CI46" s="303"/>
      <c r="CJ46" s="303"/>
      <c r="CK46" s="305"/>
      <c r="CL46" s="2"/>
    </row>
    <row r="47" spans="1:90" ht="14.5" thickBot="1" x14ac:dyDescent="0.3">
      <c r="A47" s="48">
        <v>3122039</v>
      </c>
      <c r="B47" s="135">
        <v>2039</v>
      </c>
      <c r="C47" s="98" t="s">
        <v>135</v>
      </c>
      <c r="D47" s="136">
        <v>265</v>
      </c>
      <c r="E47" s="136">
        <v>265</v>
      </c>
      <c r="F47" s="136">
        <v>0</v>
      </c>
      <c r="G47" s="136">
        <v>0</v>
      </c>
      <c r="H47" s="136">
        <v>0</v>
      </c>
      <c r="I47" s="136">
        <v>20.999999999999996</v>
      </c>
      <c r="J47" s="136">
        <v>0</v>
      </c>
      <c r="K47" s="136">
        <v>9.0000000000000018</v>
      </c>
      <c r="L47" s="136">
        <v>1.0000000000000007</v>
      </c>
      <c r="M47" s="136">
        <v>0</v>
      </c>
      <c r="N47" s="136">
        <v>1.9999999999999987</v>
      </c>
      <c r="O47" s="136">
        <v>0</v>
      </c>
      <c r="P47" s="136">
        <v>0</v>
      </c>
      <c r="Q47" s="136">
        <v>0</v>
      </c>
      <c r="R47" s="136">
        <v>0</v>
      </c>
      <c r="S47" s="136">
        <v>0</v>
      </c>
      <c r="T47" s="136">
        <v>0</v>
      </c>
      <c r="U47" s="136">
        <v>0</v>
      </c>
      <c r="V47" s="136">
        <v>0</v>
      </c>
      <c r="W47" s="136">
        <v>55.395480225988734</v>
      </c>
      <c r="X47" s="136">
        <v>0</v>
      </c>
      <c r="Y47" s="136">
        <v>67.722222222222214</v>
      </c>
      <c r="Z47" s="136">
        <v>0</v>
      </c>
      <c r="AA47" s="136">
        <v>0</v>
      </c>
      <c r="AB47" s="136">
        <v>0</v>
      </c>
      <c r="AC47" s="226">
        <f t="shared" si="40"/>
        <v>993086.46179258241</v>
      </c>
      <c r="AD47" s="226">
        <f t="shared" si="41"/>
        <v>0</v>
      </c>
      <c r="AE47" s="226">
        <f t="shared" si="42"/>
        <v>0</v>
      </c>
      <c r="AF47" s="226">
        <f t="shared" si="43"/>
        <v>23328.269999999993</v>
      </c>
      <c r="AG47" s="226">
        <f t="shared" si="44"/>
        <v>0</v>
      </c>
      <c r="AH47" s="118">
        <f t="shared" si="45"/>
        <v>947.25000000000023</v>
      </c>
      <c r="AI47" s="118">
        <f t="shared" si="46"/>
        <v>210.50000000000014</v>
      </c>
      <c r="AJ47" s="118">
        <f t="shared" si="47"/>
        <v>0</v>
      </c>
      <c r="AK47" s="118">
        <f t="shared" si="48"/>
        <v>841.99999999999943</v>
      </c>
      <c r="AL47" s="118">
        <f t="shared" si="49"/>
        <v>0</v>
      </c>
      <c r="AM47" s="118">
        <f t="shared" si="50"/>
        <v>0</v>
      </c>
      <c r="AN47" s="118">
        <f t="shared" si="51"/>
        <v>0</v>
      </c>
      <c r="AO47" s="118">
        <f t="shared" si="52"/>
        <v>0</v>
      </c>
      <c r="AP47" s="118">
        <f t="shared" si="53"/>
        <v>0</v>
      </c>
      <c r="AQ47" s="118">
        <f t="shared" si="54"/>
        <v>0</v>
      </c>
      <c r="AR47" s="118">
        <f t="shared" si="55"/>
        <v>0</v>
      </c>
      <c r="AS47" s="118">
        <f t="shared" si="56"/>
        <v>0</v>
      </c>
      <c r="AT47" s="118">
        <f t="shared" si="57"/>
        <v>43856.601694915284</v>
      </c>
      <c r="AU47" s="118">
        <f t="shared" si="58"/>
        <v>0</v>
      </c>
      <c r="AV47" s="118">
        <f t="shared" si="59"/>
        <v>42801.121666666659</v>
      </c>
      <c r="AW47" s="118">
        <f t="shared" si="60"/>
        <v>0</v>
      </c>
      <c r="AX47" s="118">
        <f t="shared" si="61"/>
        <v>0</v>
      </c>
      <c r="AY47" s="118">
        <f t="shared" si="62"/>
        <v>0</v>
      </c>
      <c r="AZ47" s="118">
        <v>140000</v>
      </c>
      <c r="BA47" s="118">
        <v>29526</v>
      </c>
      <c r="BB47" s="118">
        <v>1776</v>
      </c>
      <c r="BC47" s="118"/>
      <c r="BD47" s="118"/>
      <c r="BE47" s="118"/>
      <c r="BF47" s="276">
        <f t="shared" si="39"/>
        <v>993086.46179258241</v>
      </c>
      <c r="BG47" s="276">
        <f t="shared" si="32"/>
        <v>111985.74336158193</v>
      </c>
      <c r="BH47" s="276">
        <f t="shared" si="33"/>
        <v>171302</v>
      </c>
      <c r="BI47" s="276">
        <f t="shared" si="66"/>
        <v>42801.121666666659</v>
      </c>
      <c r="BJ47" s="276">
        <f t="shared" si="63"/>
        <v>1276374.2051541642</v>
      </c>
      <c r="BK47" s="276">
        <v>1105072.21</v>
      </c>
      <c r="BL47" s="119">
        <v>4170.0837899999997</v>
      </c>
      <c r="BM47" s="119">
        <v>4051.1673599999999</v>
      </c>
      <c r="BN47" s="228">
        <v>2.9353621790168091E-2</v>
      </c>
      <c r="BO47" s="228">
        <v>0</v>
      </c>
      <c r="BP47" s="119">
        <v>0</v>
      </c>
      <c r="BQ47" s="281">
        <f t="shared" si="64"/>
        <v>1276374.2051541642</v>
      </c>
      <c r="BR47" s="119">
        <v>-580.35</v>
      </c>
      <c r="BS47" s="119">
        <v>-336.55</v>
      </c>
      <c r="BT47" s="120">
        <f t="shared" si="65"/>
        <v>1275457.3051541641</v>
      </c>
      <c r="BU47" s="229"/>
      <c r="BV47" s="366">
        <f>VLOOKUP(B47,EYSFF!$A$4:$Z$61,23,0)</f>
        <v>144496.43362715098</v>
      </c>
      <c r="BW47" s="105">
        <f>VLOOKUP(B47,EYSFF!$A$4:$AA$61,24,0)</f>
        <v>48035.300908485326</v>
      </c>
      <c r="BX47" s="303"/>
      <c r="BY47" s="303"/>
      <c r="BZ47" s="107">
        <v>23958.333333333336</v>
      </c>
      <c r="CA47" s="273"/>
      <c r="CB47" s="314">
        <f>$I47*1345</f>
        <v>28244.999999999996</v>
      </c>
      <c r="CC47" s="315">
        <v>0</v>
      </c>
      <c r="CD47" s="315">
        <v>11725</v>
      </c>
      <c r="CE47" s="303"/>
      <c r="CF47" s="303"/>
      <c r="CG47" s="315">
        <v>7421</v>
      </c>
      <c r="CH47" s="322">
        <v>108706</v>
      </c>
      <c r="CI47" s="105"/>
      <c r="CJ47" s="303"/>
      <c r="CK47" s="305"/>
      <c r="CL47" s="2"/>
    </row>
    <row r="48" spans="1:90" ht="14.5" thickBot="1" x14ac:dyDescent="0.3">
      <c r="A48" s="48">
        <v>3122038</v>
      </c>
      <c r="B48" s="135">
        <v>2038</v>
      </c>
      <c r="C48" s="98" t="s">
        <v>136</v>
      </c>
      <c r="D48" s="136">
        <v>356</v>
      </c>
      <c r="E48" s="136">
        <v>356</v>
      </c>
      <c r="F48" s="136">
        <v>0</v>
      </c>
      <c r="G48" s="136">
        <v>0</v>
      </c>
      <c r="H48" s="136">
        <v>0</v>
      </c>
      <c r="I48" s="136">
        <v>40.885154061624647</v>
      </c>
      <c r="J48" s="136">
        <v>0</v>
      </c>
      <c r="K48" s="136">
        <v>16.999999999999986</v>
      </c>
      <c r="L48" s="136">
        <v>4.0000000000000089</v>
      </c>
      <c r="M48" s="136">
        <v>0</v>
      </c>
      <c r="N48" s="136">
        <v>0</v>
      </c>
      <c r="O48" s="136">
        <v>0</v>
      </c>
      <c r="P48" s="136">
        <v>0</v>
      </c>
      <c r="Q48" s="136">
        <v>0</v>
      </c>
      <c r="R48" s="136">
        <v>0</v>
      </c>
      <c r="S48" s="136">
        <v>0</v>
      </c>
      <c r="T48" s="136">
        <v>0</v>
      </c>
      <c r="U48" s="136">
        <v>0</v>
      </c>
      <c r="V48" s="136">
        <v>0</v>
      </c>
      <c r="W48" s="136">
        <v>33.000000000000021</v>
      </c>
      <c r="X48" s="136">
        <v>0</v>
      </c>
      <c r="Y48" s="136">
        <v>67.711815561959654</v>
      </c>
      <c r="Z48" s="136">
        <v>0</v>
      </c>
      <c r="AA48" s="136">
        <v>0</v>
      </c>
      <c r="AB48" s="136">
        <v>0</v>
      </c>
      <c r="AC48" s="226">
        <f t="shared" si="40"/>
        <v>1334108.6052760729</v>
      </c>
      <c r="AD48" s="226">
        <f t="shared" si="41"/>
        <v>0</v>
      </c>
      <c r="AE48" s="226">
        <f t="shared" si="42"/>
        <v>0</v>
      </c>
      <c r="AF48" s="226">
        <f t="shared" si="43"/>
        <v>45418.091092436967</v>
      </c>
      <c r="AG48" s="226">
        <f t="shared" si="44"/>
        <v>0</v>
      </c>
      <c r="AH48" s="118">
        <f t="shared" si="45"/>
        <v>1789.2499999999984</v>
      </c>
      <c r="AI48" s="118">
        <f t="shared" si="46"/>
        <v>842.00000000000182</v>
      </c>
      <c r="AJ48" s="118">
        <f t="shared" si="47"/>
        <v>0</v>
      </c>
      <c r="AK48" s="118">
        <f t="shared" si="48"/>
        <v>0</v>
      </c>
      <c r="AL48" s="118">
        <f t="shared" si="49"/>
        <v>0</v>
      </c>
      <c r="AM48" s="118">
        <f t="shared" si="50"/>
        <v>0</v>
      </c>
      <c r="AN48" s="118">
        <f t="shared" si="51"/>
        <v>0</v>
      </c>
      <c r="AO48" s="118">
        <f t="shared" si="52"/>
        <v>0</v>
      </c>
      <c r="AP48" s="118">
        <f t="shared" si="53"/>
        <v>0</v>
      </c>
      <c r="AQ48" s="118">
        <f t="shared" si="54"/>
        <v>0</v>
      </c>
      <c r="AR48" s="118">
        <f t="shared" si="55"/>
        <v>0</v>
      </c>
      <c r="AS48" s="118">
        <f t="shared" si="56"/>
        <v>0</v>
      </c>
      <c r="AT48" s="118">
        <f t="shared" si="57"/>
        <v>26126.100000000017</v>
      </c>
      <c r="AU48" s="118">
        <f t="shared" si="58"/>
        <v>0</v>
      </c>
      <c r="AV48" s="118">
        <f t="shared" si="59"/>
        <v>42794.544553314117</v>
      </c>
      <c r="AW48" s="118">
        <f t="shared" si="60"/>
        <v>0</v>
      </c>
      <c r="AX48" s="118">
        <f t="shared" si="61"/>
        <v>0</v>
      </c>
      <c r="AY48" s="118">
        <f t="shared" si="62"/>
        <v>0</v>
      </c>
      <c r="AZ48" s="118">
        <v>140000</v>
      </c>
      <c r="BA48" s="118">
        <v>29526</v>
      </c>
      <c r="BB48" s="118">
        <v>1776</v>
      </c>
      <c r="BC48" s="118"/>
      <c r="BD48" s="118"/>
      <c r="BE48" s="118"/>
      <c r="BF48" s="276">
        <f t="shared" si="39"/>
        <v>1334108.6052760729</v>
      </c>
      <c r="BG48" s="276">
        <f t="shared" si="32"/>
        <v>116969.98564575111</v>
      </c>
      <c r="BH48" s="276">
        <f t="shared" si="33"/>
        <v>171302</v>
      </c>
      <c r="BI48" s="276">
        <f t="shared" si="66"/>
        <v>42794.544553314117</v>
      </c>
      <c r="BJ48" s="276">
        <f t="shared" si="63"/>
        <v>1622380.5909218239</v>
      </c>
      <c r="BK48" s="276">
        <v>1451078.59</v>
      </c>
      <c r="BL48" s="119">
        <v>4076.0634599999998</v>
      </c>
      <c r="BM48" s="119">
        <v>3984.8085500000002</v>
      </c>
      <c r="BN48" s="228">
        <v>2.2900700262981171E-2</v>
      </c>
      <c r="BO48" s="228">
        <v>0</v>
      </c>
      <c r="BP48" s="119">
        <v>0</v>
      </c>
      <c r="BQ48" s="281">
        <f t="shared" si="64"/>
        <v>1622380.5909218239</v>
      </c>
      <c r="BR48" s="119">
        <v>-779.64</v>
      </c>
      <c r="BS48" s="119">
        <v>-452.12</v>
      </c>
      <c r="BT48" s="120">
        <f t="shared" si="65"/>
        <v>1621148.8309218239</v>
      </c>
      <c r="BU48" s="229"/>
      <c r="BV48" s="302"/>
      <c r="BW48" s="303"/>
      <c r="BX48" s="303"/>
      <c r="BY48" s="303"/>
      <c r="BZ48" s="107">
        <v>63641.666666666664</v>
      </c>
      <c r="CA48" s="273"/>
      <c r="CB48" s="314">
        <f>$I48*1345</f>
        <v>54990.532212885148</v>
      </c>
      <c r="CC48" s="315">
        <v>0</v>
      </c>
      <c r="CD48" s="315">
        <v>7035</v>
      </c>
      <c r="CE48" s="303"/>
      <c r="CF48" s="303"/>
      <c r="CG48" s="315">
        <v>8154</v>
      </c>
      <c r="CH48" s="303"/>
      <c r="CI48" s="105"/>
      <c r="CJ48" s="303"/>
      <c r="CK48" s="305"/>
      <c r="CL48" s="2"/>
    </row>
    <row r="49" spans="1:90" ht="14.5" thickBot="1" x14ac:dyDescent="0.3">
      <c r="A49" s="48">
        <v>3125200</v>
      </c>
      <c r="B49" s="135">
        <v>5200</v>
      </c>
      <c r="C49" s="98" t="s">
        <v>139</v>
      </c>
      <c r="D49" s="136">
        <v>253</v>
      </c>
      <c r="E49" s="136">
        <v>253</v>
      </c>
      <c r="F49" s="136">
        <v>0</v>
      </c>
      <c r="G49" s="136">
        <v>0</v>
      </c>
      <c r="H49" s="136">
        <v>0</v>
      </c>
      <c r="I49" s="136">
        <v>22.82706766917293</v>
      </c>
      <c r="J49" s="136">
        <v>0</v>
      </c>
      <c r="K49" s="136">
        <v>6.9999999999999947</v>
      </c>
      <c r="L49" s="136">
        <v>6.9999999999999947</v>
      </c>
      <c r="M49" s="136">
        <v>0</v>
      </c>
      <c r="N49" s="136">
        <v>0</v>
      </c>
      <c r="O49" s="136">
        <v>0</v>
      </c>
      <c r="P49" s="136">
        <v>0</v>
      </c>
      <c r="Q49" s="136">
        <v>0</v>
      </c>
      <c r="R49" s="136">
        <v>0</v>
      </c>
      <c r="S49" s="136">
        <v>0</v>
      </c>
      <c r="T49" s="136">
        <v>0</v>
      </c>
      <c r="U49" s="136">
        <v>0</v>
      </c>
      <c r="V49" s="136">
        <v>0</v>
      </c>
      <c r="W49" s="136">
        <v>108.65030674846621</v>
      </c>
      <c r="X49" s="136">
        <v>0</v>
      </c>
      <c r="Y49" s="136">
        <v>60.087499999999999</v>
      </c>
      <c r="Z49" s="136">
        <v>0</v>
      </c>
      <c r="AA49" s="136">
        <v>0</v>
      </c>
      <c r="AB49" s="136">
        <v>0</v>
      </c>
      <c r="AC49" s="226">
        <f t="shared" si="40"/>
        <v>948116.50880574842</v>
      </c>
      <c r="AD49" s="226">
        <f t="shared" si="41"/>
        <v>0</v>
      </c>
      <c r="AE49" s="226">
        <f t="shared" si="42"/>
        <v>0</v>
      </c>
      <c r="AF49" s="226">
        <f t="shared" si="43"/>
        <v>25357.904661654131</v>
      </c>
      <c r="AG49" s="226">
        <f t="shared" si="44"/>
        <v>0</v>
      </c>
      <c r="AH49" s="118">
        <f t="shared" si="45"/>
        <v>736.74999999999943</v>
      </c>
      <c r="AI49" s="118">
        <f t="shared" si="46"/>
        <v>1473.4999999999989</v>
      </c>
      <c r="AJ49" s="118">
        <f t="shared" si="47"/>
        <v>0</v>
      </c>
      <c r="AK49" s="118">
        <f t="shared" si="48"/>
        <v>0</v>
      </c>
      <c r="AL49" s="118">
        <f t="shared" si="49"/>
        <v>0</v>
      </c>
      <c r="AM49" s="118">
        <f t="shared" si="50"/>
        <v>0</v>
      </c>
      <c r="AN49" s="118">
        <f t="shared" si="51"/>
        <v>0</v>
      </c>
      <c r="AO49" s="118">
        <f t="shared" si="52"/>
        <v>0</v>
      </c>
      <c r="AP49" s="118">
        <f t="shared" si="53"/>
        <v>0</v>
      </c>
      <c r="AQ49" s="118">
        <f t="shared" si="54"/>
        <v>0</v>
      </c>
      <c r="AR49" s="118">
        <f t="shared" si="55"/>
        <v>0</v>
      </c>
      <c r="AS49" s="118">
        <f t="shared" si="56"/>
        <v>0</v>
      </c>
      <c r="AT49" s="118">
        <f t="shared" si="57"/>
        <v>86018.447852760699</v>
      </c>
      <c r="AU49" s="118">
        <f t="shared" si="58"/>
        <v>0</v>
      </c>
      <c r="AV49" s="118">
        <f t="shared" si="59"/>
        <v>37975.900874999999</v>
      </c>
      <c r="AW49" s="118">
        <f t="shared" si="60"/>
        <v>0</v>
      </c>
      <c r="AX49" s="118">
        <f t="shared" si="61"/>
        <v>0</v>
      </c>
      <c r="AY49" s="118">
        <f t="shared" si="62"/>
        <v>0</v>
      </c>
      <c r="AZ49" s="118">
        <v>140000</v>
      </c>
      <c r="BA49" s="118">
        <v>5905</v>
      </c>
      <c r="BB49" s="118">
        <v>355</v>
      </c>
      <c r="BC49" s="118"/>
      <c r="BD49" s="118"/>
      <c r="BE49" s="118"/>
      <c r="BF49" s="276">
        <f t="shared" si="39"/>
        <v>948116.50880574842</v>
      </c>
      <c r="BG49" s="276">
        <f t="shared" si="32"/>
        <v>151562.50338941484</v>
      </c>
      <c r="BH49" s="276">
        <f t="shared" si="33"/>
        <v>146260</v>
      </c>
      <c r="BI49" s="276">
        <f t="shared" si="66"/>
        <v>37975.900874999999</v>
      </c>
      <c r="BJ49" s="276">
        <f t="shared" si="63"/>
        <v>1245939.0121951632</v>
      </c>
      <c r="BK49" s="276">
        <v>1099679.01</v>
      </c>
      <c r="BL49" s="119">
        <v>4346.5573599999998</v>
      </c>
      <c r="BM49" s="119">
        <v>4281.1031999999996</v>
      </c>
      <c r="BN49" s="228">
        <v>1.5289086208455064E-2</v>
      </c>
      <c r="BO49" s="228">
        <v>0</v>
      </c>
      <c r="BP49" s="119">
        <v>0</v>
      </c>
      <c r="BQ49" s="281">
        <f t="shared" si="64"/>
        <v>1245939.0121951632</v>
      </c>
      <c r="BR49" s="119">
        <v>-554.06999999999994</v>
      </c>
      <c r="BS49" s="119">
        <v>-321.31</v>
      </c>
      <c r="BT49" s="120">
        <f t="shared" si="65"/>
        <v>1245063.6321951631</v>
      </c>
      <c r="BU49" s="229"/>
      <c r="BV49" s="366">
        <f>VLOOKUP(B49,EYSFF!$A$4:$Z$61,23,0)</f>
        <v>220045.78068093586</v>
      </c>
      <c r="BW49" s="105">
        <f>VLOOKUP(B49,EYSFF!$A$4:$AA$61,24,0)</f>
        <v>85535.128977659784</v>
      </c>
      <c r="BX49" s="303"/>
      <c r="BY49" s="303"/>
      <c r="BZ49" s="107">
        <v>77916.666666666657</v>
      </c>
      <c r="CA49" s="273"/>
      <c r="CB49" s="314">
        <f>$I49*1345</f>
        <v>30702.406015037592</v>
      </c>
      <c r="CC49" s="315">
        <v>0</v>
      </c>
      <c r="CD49" s="315">
        <v>0</v>
      </c>
      <c r="CE49" s="303"/>
      <c r="CF49" s="303"/>
      <c r="CG49" s="315">
        <v>7404</v>
      </c>
      <c r="CH49" s="322">
        <v>89143</v>
      </c>
      <c r="CI49" s="105"/>
      <c r="CJ49" s="303"/>
      <c r="CK49" s="305"/>
    </row>
    <row r="50" spans="1:90" ht="14.5" thickBot="1" x14ac:dyDescent="0.3">
      <c r="A50" s="48">
        <v>3125201</v>
      </c>
      <c r="B50" s="135">
        <v>5201</v>
      </c>
      <c r="C50" s="98" t="s">
        <v>141</v>
      </c>
      <c r="D50" s="136">
        <v>337</v>
      </c>
      <c r="E50" s="136">
        <v>337</v>
      </c>
      <c r="F50" s="136">
        <v>0</v>
      </c>
      <c r="G50" s="136">
        <v>0</v>
      </c>
      <c r="H50" s="136">
        <v>0</v>
      </c>
      <c r="I50" s="136">
        <v>58.608695652173914</v>
      </c>
      <c r="J50" s="136">
        <v>0</v>
      </c>
      <c r="K50" s="136">
        <v>16.000000000000011</v>
      </c>
      <c r="L50" s="136">
        <v>8.9999999999999876</v>
      </c>
      <c r="M50" s="136">
        <v>0.99999999999999867</v>
      </c>
      <c r="N50" s="136">
        <v>0.99999999999999867</v>
      </c>
      <c r="O50" s="136">
        <v>0</v>
      </c>
      <c r="P50" s="136">
        <v>0</v>
      </c>
      <c r="Q50" s="136">
        <v>0</v>
      </c>
      <c r="R50" s="136">
        <v>0</v>
      </c>
      <c r="S50" s="136">
        <v>0</v>
      </c>
      <c r="T50" s="136">
        <v>0</v>
      </c>
      <c r="U50" s="136">
        <v>0</v>
      </c>
      <c r="V50" s="136">
        <v>0</v>
      </c>
      <c r="W50" s="136">
        <v>51.999999999999872</v>
      </c>
      <c r="X50" s="136">
        <v>0</v>
      </c>
      <c r="Y50" s="136">
        <v>99.661585365853654</v>
      </c>
      <c r="Z50" s="136">
        <v>0</v>
      </c>
      <c r="AA50" s="136">
        <v>0</v>
      </c>
      <c r="AB50" s="136">
        <v>0</v>
      </c>
      <c r="AC50" s="226">
        <f t="shared" si="40"/>
        <v>1262906.1797135859</v>
      </c>
      <c r="AD50" s="226">
        <f t="shared" si="41"/>
        <v>0</v>
      </c>
      <c r="AE50" s="226">
        <f t="shared" si="42"/>
        <v>0</v>
      </c>
      <c r="AF50" s="226">
        <f t="shared" si="43"/>
        <v>65106.641739130428</v>
      </c>
      <c r="AG50" s="226">
        <f t="shared" si="44"/>
        <v>0</v>
      </c>
      <c r="AH50" s="118">
        <f t="shared" si="45"/>
        <v>1684.0000000000011</v>
      </c>
      <c r="AI50" s="118">
        <f t="shared" si="46"/>
        <v>1894.4999999999973</v>
      </c>
      <c r="AJ50" s="118">
        <f t="shared" si="47"/>
        <v>315.7499999999996</v>
      </c>
      <c r="AK50" s="118">
        <f t="shared" si="48"/>
        <v>420.99999999999943</v>
      </c>
      <c r="AL50" s="118">
        <f t="shared" si="49"/>
        <v>0</v>
      </c>
      <c r="AM50" s="118">
        <f t="shared" si="50"/>
        <v>0</v>
      </c>
      <c r="AN50" s="118">
        <f t="shared" si="51"/>
        <v>0</v>
      </c>
      <c r="AO50" s="118">
        <f t="shared" si="52"/>
        <v>0</v>
      </c>
      <c r="AP50" s="118">
        <f t="shared" si="53"/>
        <v>0</v>
      </c>
      <c r="AQ50" s="118">
        <f t="shared" si="54"/>
        <v>0</v>
      </c>
      <c r="AR50" s="118">
        <f t="shared" si="55"/>
        <v>0</v>
      </c>
      <c r="AS50" s="118">
        <f t="shared" si="56"/>
        <v>0</v>
      </c>
      <c r="AT50" s="118">
        <f t="shared" si="57"/>
        <v>41168.3999999999</v>
      </c>
      <c r="AU50" s="118">
        <f t="shared" si="58"/>
        <v>0</v>
      </c>
      <c r="AV50" s="118">
        <f t="shared" si="59"/>
        <v>62987.118567073165</v>
      </c>
      <c r="AW50" s="118">
        <f t="shared" si="60"/>
        <v>0</v>
      </c>
      <c r="AX50" s="118">
        <f t="shared" si="61"/>
        <v>0</v>
      </c>
      <c r="AY50" s="118">
        <f t="shared" si="62"/>
        <v>0</v>
      </c>
      <c r="AZ50" s="118">
        <v>140000</v>
      </c>
      <c r="BA50" s="118">
        <v>5905</v>
      </c>
      <c r="BB50" s="118">
        <v>355</v>
      </c>
      <c r="BC50" s="118"/>
      <c r="BD50" s="118"/>
      <c r="BE50" s="118"/>
      <c r="BF50" s="276">
        <f t="shared" si="39"/>
        <v>1262906.1797135859</v>
      </c>
      <c r="BG50" s="276">
        <f t="shared" si="32"/>
        <v>173577.4103062035</v>
      </c>
      <c r="BH50" s="276">
        <f t="shared" si="33"/>
        <v>146260</v>
      </c>
      <c r="BI50" s="276">
        <f t="shared" si="66"/>
        <v>62987.118567073165</v>
      </c>
      <c r="BJ50" s="276">
        <f t="shared" si="63"/>
        <v>1582743.5900197893</v>
      </c>
      <c r="BK50" s="276">
        <v>1436483.59</v>
      </c>
      <c r="BL50" s="119">
        <v>4262.5625799999998</v>
      </c>
      <c r="BM50" s="119">
        <v>4160.3005899999998</v>
      </c>
      <c r="BN50" s="228">
        <v>2.4580434212950669E-2</v>
      </c>
      <c r="BO50" s="228">
        <v>0</v>
      </c>
      <c r="BP50" s="119">
        <v>0</v>
      </c>
      <c r="BQ50" s="281">
        <f t="shared" si="64"/>
        <v>1582743.5900197893</v>
      </c>
      <c r="BR50" s="119">
        <v>-738.03</v>
      </c>
      <c r="BS50" s="119">
        <v>-427.99</v>
      </c>
      <c r="BT50" s="120">
        <f t="shared" si="65"/>
        <v>1581577.5700197893</v>
      </c>
      <c r="BU50" s="229"/>
      <c r="BV50" s="302"/>
      <c r="BW50" s="303"/>
      <c r="BX50" s="303"/>
      <c r="BY50" s="303"/>
      <c r="BZ50" s="107">
        <v>117800</v>
      </c>
      <c r="CA50" s="273"/>
      <c r="CB50" s="314">
        <f>$I50*1345</f>
        <v>78828.695652173919</v>
      </c>
      <c r="CC50" s="315">
        <v>310</v>
      </c>
      <c r="CD50" s="315">
        <v>0</v>
      </c>
      <c r="CE50" s="303"/>
      <c r="CF50" s="303"/>
      <c r="CG50" s="315">
        <v>8104</v>
      </c>
      <c r="CH50" s="303"/>
      <c r="CI50" s="105"/>
      <c r="CJ50" s="303"/>
      <c r="CK50" s="305"/>
    </row>
    <row r="51" spans="1:90" ht="14.5" thickBot="1" x14ac:dyDescent="0.3">
      <c r="A51" s="48">
        <v>3122040</v>
      </c>
      <c r="B51" s="135">
        <v>2040</v>
      </c>
      <c r="C51" s="98" t="s">
        <v>271</v>
      </c>
      <c r="D51" s="136">
        <v>534</v>
      </c>
      <c r="E51" s="136">
        <v>534</v>
      </c>
      <c r="F51" s="136">
        <v>0</v>
      </c>
      <c r="G51" s="136">
        <v>0</v>
      </c>
      <c r="H51" s="136">
        <v>0</v>
      </c>
      <c r="I51" s="136">
        <v>152.82529118136441</v>
      </c>
      <c r="J51" s="136">
        <v>0</v>
      </c>
      <c r="K51" s="136">
        <v>248.00000000000017</v>
      </c>
      <c r="L51" s="136">
        <v>67.999999999999744</v>
      </c>
      <c r="M51" s="136">
        <v>0.99999999999999867</v>
      </c>
      <c r="N51" s="136">
        <v>4.9999999999999982</v>
      </c>
      <c r="O51" s="136">
        <v>0</v>
      </c>
      <c r="P51" s="136">
        <v>0</v>
      </c>
      <c r="Q51" s="136">
        <v>0</v>
      </c>
      <c r="R51" s="136">
        <v>0</v>
      </c>
      <c r="S51" s="136">
        <v>0</v>
      </c>
      <c r="T51" s="136">
        <v>0</v>
      </c>
      <c r="U51" s="136">
        <v>0</v>
      </c>
      <c r="V51" s="136">
        <v>0</v>
      </c>
      <c r="W51" s="136">
        <v>243.24152542372872</v>
      </c>
      <c r="X51" s="136">
        <v>0</v>
      </c>
      <c r="Y51" s="136">
        <v>189.92147806004618</v>
      </c>
      <c r="Z51" s="136">
        <v>0</v>
      </c>
      <c r="AA51" s="136">
        <v>3.9600000000000297</v>
      </c>
      <c r="AB51" s="136">
        <v>0</v>
      </c>
      <c r="AC51" s="226">
        <f t="shared" si="40"/>
        <v>2001162.9079141095</v>
      </c>
      <c r="AD51" s="226">
        <f t="shared" si="41"/>
        <v>0</v>
      </c>
      <c r="AE51" s="226">
        <f t="shared" si="42"/>
        <v>0</v>
      </c>
      <c r="AF51" s="226">
        <f t="shared" si="43"/>
        <v>169769.03121464225</v>
      </c>
      <c r="AG51" s="226">
        <f t="shared" si="44"/>
        <v>0</v>
      </c>
      <c r="AH51" s="118">
        <f t="shared" si="45"/>
        <v>26102.000000000018</v>
      </c>
      <c r="AI51" s="118">
        <f t="shared" si="46"/>
        <v>14313.999999999945</v>
      </c>
      <c r="AJ51" s="118">
        <f t="shared" si="47"/>
        <v>315.7499999999996</v>
      </c>
      <c r="AK51" s="118">
        <f t="shared" si="48"/>
        <v>2104.9999999999991</v>
      </c>
      <c r="AL51" s="118">
        <f t="shared" si="49"/>
        <v>0</v>
      </c>
      <c r="AM51" s="118">
        <f t="shared" si="50"/>
        <v>0</v>
      </c>
      <c r="AN51" s="118">
        <f t="shared" si="51"/>
        <v>0</v>
      </c>
      <c r="AO51" s="118">
        <f t="shared" si="52"/>
        <v>0</v>
      </c>
      <c r="AP51" s="118">
        <f t="shared" si="53"/>
        <v>0</v>
      </c>
      <c r="AQ51" s="118">
        <f t="shared" si="54"/>
        <v>0</v>
      </c>
      <c r="AR51" s="118">
        <f t="shared" si="55"/>
        <v>0</v>
      </c>
      <c r="AS51" s="118">
        <f t="shared" si="56"/>
        <v>0</v>
      </c>
      <c r="AT51" s="118">
        <f t="shared" si="57"/>
        <v>192574.31567796605</v>
      </c>
      <c r="AU51" s="118">
        <f t="shared" si="58"/>
        <v>0</v>
      </c>
      <c r="AV51" s="118">
        <f t="shared" si="59"/>
        <v>120032.27334872978</v>
      </c>
      <c r="AW51" s="118">
        <f t="shared" si="60"/>
        <v>0</v>
      </c>
      <c r="AX51" s="118">
        <f t="shared" si="61"/>
        <v>3916.8360000000293</v>
      </c>
      <c r="AY51" s="118">
        <f t="shared" si="62"/>
        <v>0</v>
      </c>
      <c r="AZ51" s="118">
        <v>140000</v>
      </c>
      <c r="BA51" s="118">
        <v>16784</v>
      </c>
      <c r="BB51" s="118">
        <v>984</v>
      </c>
      <c r="BC51" s="118"/>
      <c r="BD51" s="118"/>
      <c r="BE51" s="118"/>
      <c r="BF51" s="276">
        <f t="shared" si="39"/>
        <v>2001162.9079141095</v>
      </c>
      <c r="BG51" s="276">
        <f t="shared" si="32"/>
        <v>529129.20624133805</v>
      </c>
      <c r="BH51" s="276">
        <f t="shared" si="33"/>
        <v>157768</v>
      </c>
      <c r="BI51" s="276">
        <f t="shared" si="66"/>
        <v>120032.27334872978</v>
      </c>
      <c r="BJ51" s="276">
        <f t="shared" si="63"/>
        <v>2688060.1141554476</v>
      </c>
      <c r="BK51" s="276">
        <v>2530292.11</v>
      </c>
      <c r="BL51" s="119">
        <v>4738.3747499999999</v>
      </c>
      <c r="BM51" s="119">
        <v>4687.1260499999999</v>
      </c>
      <c r="BN51" s="228">
        <v>1.0933927363464069E-2</v>
      </c>
      <c r="BO51" s="228">
        <v>0</v>
      </c>
      <c r="BP51" s="119">
        <v>0</v>
      </c>
      <c r="BQ51" s="281">
        <f t="shared" si="64"/>
        <v>2688060.1141554476</v>
      </c>
      <c r="BR51" s="119">
        <v>0</v>
      </c>
      <c r="BS51" s="119">
        <v>0</v>
      </c>
      <c r="BT51" s="120">
        <f t="shared" si="65"/>
        <v>2688060.1141554476</v>
      </c>
      <c r="BU51" s="229"/>
      <c r="BV51" s="366">
        <f>VLOOKUP(B51,EYSFF!$A$4:$Z$61,23,0)</f>
        <v>175260.13245592508</v>
      </c>
      <c r="BW51" s="105">
        <f>VLOOKUP(B51,EYSFF!$A$4:$AA$61,24,0)</f>
        <v>16899.495368515822</v>
      </c>
      <c r="BX51" s="303"/>
      <c r="BY51" s="303"/>
      <c r="BZ51" s="107">
        <v>88641.666666666657</v>
      </c>
      <c r="CB51" s="302"/>
      <c r="CC51" s="303"/>
      <c r="CD51" s="303"/>
      <c r="CE51" s="303"/>
      <c r="CF51" s="303"/>
      <c r="CG51" s="303"/>
      <c r="CH51" s="303"/>
      <c r="CI51" s="303"/>
      <c r="CJ51" s="303"/>
      <c r="CK51" s="305"/>
      <c r="CL51" s="2"/>
    </row>
    <row r="52" spans="1:90" ht="14.5" thickBot="1" x14ac:dyDescent="0.3">
      <c r="A52" s="48">
        <v>3122064</v>
      </c>
      <c r="B52" s="135">
        <v>2064</v>
      </c>
      <c r="C52" s="98" t="s">
        <v>152</v>
      </c>
      <c r="D52" s="136">
        <v>568</v>
      </c>
      <c r="E52" s="136">
        <v>568</v>
      </c>
      <c r="F52" s="136">
        <v>0</v>
      </c>
      <c r="G52" s="136">
        <v>0</v>
      </c>
      <c r="H52" s="136">
        <v>0</v>
      </c>
      <c r="I52" s="136">
        <v>189.66260869565218</v>
      </c>
      <c r="J52" s="136">
        <v>0</v>
      </c>
      <c r="K52" s="136">
        <v>169.00000000000023</v>
      </c>
      <c r="L52" s="136">
        <v>221.00000000000028</v>
      </c>
      <c r="M52" s="136">
        <v>69.000000000000213</v>
      </c>
      <c r="N52" s="136">
        <v>63.999999999999908</v>
      </c>
      <c r="O52" s="136">
        <v>0</v>
      </c>
      <c r="P52" s="136">
        <v>0</v>
      </c>
      <c r="Q52" s="136">
        <v>0</v>
      </c>
      <c r="R52" s="136">
        <v>0</v>
      </c>
      <c r="S52" s="136">
        <v>0</v>
      </c>
      <c r="T52" s="136">
        <v>0</v>
      </c>
      <c r="U52" s="136">
        <v>0</v>
      </c>
      <c r="V52" s="136">
        <v>0</v>
      </c>
      <c r="W52" s="136">
        <v>168.03333333333313</v>
      </c>
      <c r="X52" s="136">
        <v>0</v>
      </c>
      <c r="Y52" s="136">
        <v>161.34872979214779</v>
      </c>
      <c r="Z52" s="136">
        <v>0</v>
      </c>
      <c r="AA52" s="136">
        <v>3.050742049469946</v>
      </c>
      <c r="AB52" s="136">
        <v>0</v>
      </c>
      <c r="AC52" s="226">
        <f t="shared" si="40"/>
        <v>2128577.7747101388</v>
      </c>
      <c r="AD52" s="226">
        <f t="shared" si="41"/>
        <v>0</v>
      </c>
      <c r="AE52" s="226">
        <f t="shared" si="42"/>
        <v>0</v>
      </c>
      <c r="AF52" s="226">
        <f t="shared" si="43"/>
        <v>210690.50212173912</v>
      </c>
      <c r="AG52" s="226">
        <f t="shared" si="44"/>
        <v>0</v>
      </c>
      <c r="AH52" s="118">
        <f t="shared" si="45"/>
        <v>17787.250000000025</v>
      </c>
      <c r="AI52" s="118">
        <f t="shared" si="46"/>
        <v>46520.500000000058</v>
      </c>
      <c r="AJ52" s="118">
        <f t="shared" si="47"/>
        <v>21786.750000000069</v>
      </c>
      <c r="AK52" s="118">
        <f t="shared" si="48"/>
        <v>26943.99999999996</v>
      </c>
      <c r="AL52" s="118">
        <f t="shared" si="49"/>
        <v>0</v>
      </c>
      <c r="AM52" s="118">
        <f t="shared" si="50"/>
        <v>0</v>
      </c>
      <c r="AN52" s="118">
        <f t="shared" si="51"/>
        <v>0</v>
      </c>
      <c r="AO52" s="118">
        <f t="shared" si="52"/>
        <v>0</v>
      </c>
      <c r="AP52" s="118">
        <f t="shared" si="53"/>
        <v>0</v>
      </c>
      <c r="AQ52" s="118">
        <f t="shared" si="54"/>
        <v>0</v>
      </c>
      <c r="AR52" s="118">
        <f t="shared" si="55"/>
        <v>0</v>
      </c>
      <c r="AS52" s="118">
        <f t="shared" si="56"/>
        <v>0</v>
      </c>
      <c r="AT52" s="118">
        <f t="shared" si="57"/>
        <v>133031.98999999985</v>
      </c>
      <c r="AU52" s="118">
        <f t="shared" si="58"/>
        <v>0</v>
      </c>
      <c r="AV52" s="118">
        <f t="shared" si="59"/>
        <v>101974.01071593532</v>
      </c>
      <c r="AW52" s="118">
        <f t="shared" si="60"/>
        <v>0</v>
      </c>
      <c r="AX52" s="118">
        <f t="shared" si="61"/>
        <v>3017.4889611307235</v>
      </c>
      <c r="AY52" s="118">
        <f t="shared" si="62"/>
        <v>0</v>
      </c>
      <c r="AZ52" s="118">
        <v>140000</v>
      </c>
      <c r="BA52" s="118">
        <v>96824</v>
      </c>
      <c r="BB52" s="118">
        <v>10824</v>
      </c>
      <c r="BC52" s="118"/>
      <c r="BD52" s="118"/>
      <c r="BE52" s="118"/>
      <c r="BF52" s="276">
        <f t="shared" si="39"/>
        <v>2128577.7747101388</v>
      </c>
      <c r="BG52" s="276">
        <f t="shared" si="32"/>
        <v>561752.49179880519</v>
      </c>
      <c r="BH52" s="276">
        <f t="shared" si="33"/>
        <v>247648</v>
      </c>
      <c r="BI52" s="276">
        <f t="shared" si="66"/>
        <v>101974.01071593532</v>
      </c>
      <c r="BJ52" s="276">
        <f t="shared" si="63"/>
        <v>2937978.2665089439</v>
      </c>
      <c r="BK52" s="276">
        <v>2690330.27</v>
      </c>
      <c r="BL52" s="119">
        <v>4736.4969499999997</v>
      </c>
      <c r="BM52" s="119">
        <v>4584.09123</v>
      </c>
      <c r="BN52" s="228">
        <v>3.3246658013961976E-2</v>
      </c>
      <c r="BO52" s="228">
        <v>0</v>
      </c>
      <c r="BP52" s="119">
        <v>0</v>
      </c>
      <c r="BQ52" s="281">
        <f t="shared" si="64"/>
        <v>2937978.2665089439</v>
      </c>
      <c r="BR52" s="119">
        <v>-1243.92</v>
      </c>
      <c r="BS52" s="119">
        <v>-721.36</v>
      </c>
      <c r="BT52" s="120">
        <f t="shared" si="65"/>
        <v>2936012.9865089441</v>
      </c>
      <c r="BU52" s="229"/>
      <c r="BV52" s="366">
        <f>VLOOKUP(B52,EYSFF!$A$4:$Z$61,23,0)</f>
        <v>174109.58303610169</v>
      </c>
      <c r="BW52" s="105">
        <f>VLOOKUP(B52,EYSFF!$A$4:$AA$61,24,0)</f>
        <v>0</v>
      </c>
      <c r="BX52" s="303"/>
      <c r="BY52" s="303"/>
      <c r="BZ52" s="107">
        <v>243125</v>
      </c>
      <c r="CA52" s="273"/>
      <c r="CB52" s="314">
        <f>$I52*1345</f>
        <v>255096.2086956522</v>
      </c>
      <c r="CC52" s="315">
        <v>0</v>
      </c>
      <c r="CD52" s="315">
        <v>2345</v>
      </c>
      <c r="CE52" s="303"/>
      <c r="CF52" s="303"/>
      <c r="CG52" s="315">
        <v>8687</v>
      </c>
      <c r="CH52" s="322">
        <v>68691</v>
      </c>
      <c r="CI52" s="105"/>
      <c r="CJ52" s="303"/>
      <c r="CK52" s="305"/>
      <c r="CL52" s="2"/>
    </row>
    <row r="53" spans="1:90" ht="14.5" thickBot="1" x14ac:dyDescent="0.3">
      <c r="A53" s="48">
        <v>3122045</v>
      </c>
      <c r="B53" s="135">
        <v>2045</v>
      </c>
      <c r="C53" s="98" t="s">
        <v>157</v>
      </c>
      <c r="D53" s="136">
        <v>382</v>
      </c>
      <c r="E53" s="136">
        <v>382</v>
      </c>
      <c r="F53" s="136">
        <v>0</v>
      </c>
      <c r="G53" s="136">
        <v>0</v>
      </c>
      <c r="H53" s="136">
        <v>0</v>
      </c>
      <c r="I53" s="136">
        <v>70.082687338501287</v>
      </c>
      <c r="J53" s="136">
        <v>0</v>
      </c>
      <c r="K53" s="136">
        <v>128.00000000000014</v>
      </c>
      <c r="L53" s="136">
        <v>164.99999999999994</v>
      </c>
      <c r="M53" s="136">
        <v>3.0000000000000013</v>
      </c>
      <c r="N53" s="136">
        <v>2.0000000000000009</v>
      </c>
      <c r="O53" s="136">
        <v>2.0000000000000009</v>
      </c>
      <c r="P53" s="136">
        <v>0</v>
      </c>
      <c r="Q53" s="136">
        <v>0</v>
      </c>
      <c r="R53" s="136">
        <v>0</v>
      </c>
      <c r="S53" s="136">
        <v>0</v>
      </c>
      <c r="T53" s="136">
        <v>0</v>
      </c>
      <c r="U53" s="136">
        <v>0</v>
      </c>
      <c r="V53" s="136">
        <v>0</v>
      </c>
      <c r="W53" s="136">
        <v>150.75964391691403</v>
      </c>
      <c r="X53" s="136">
        <v>0</v>
      </c>
      <c r="Y53" s="136">
        <v>73.461538461538453</v>
      </c>
      <c r="Z53" s="136">
        <v>0</v>
      </c>
      <c r="AA53" s="136">
        <v>11.079999999999984</v>
      </c>
      <c r="AB53" s="136">
        <v>0</v>
      </c>
      <c r="AC53" s="226">
        <f t="shared" si="40"/>
        <v>1431543.5034142132</v>
      </c>
      <c r="AD53" s="226">
        <f t="shared" si="41"/>
        <v>0</v>
      </c>
      <c r="AE53" s="226">
        <f t="shared" si="42"/>
        <v>0</v>
      </c>
      <c r="AF53" s="226">
        <f t="shared" si="43"/>
        <v>77852.754883720918</v>
      </c>
      <c r="AG53" s="226">
        <f t="shared" si="44"/>
        <v>0</v>
      </c>
      <c r="AH53" s="118">
        <f t="shared" si="45"/>
        <v>13472.000000000015</v>
      </c>
      <c r="AI53" s="118">
        <f t="shared" si="46"/>
        <v>34732.499999999985</v>
      </c>
      <c r="AJ53" s="118">
        <f t="shared" si="47"/>
        <v>947.25000000000045</v>
      </c>
      <c r="AK53" s="118">
        <f t="shared" si="48"/>
        <v>842.00000000000034</v>
      </c>
      <c r="AL53" s="118">
        <f t="shared" si="49"/>
        <v>1052.5000000000005</v>
      </c>
      <c r="AM53" s="118">
        <f t="shared" si="50"/>
        <v>0</v>
      </c>
      <c r="AN53" s="118">
        <f t="shared" si="51"/>
        <v>0</v>
      </c>
      <c r="AO53" s="118">
        <f t="shared" si="52"/>
        <v>0</v>
      </c>
      <c r="AP53" s="118">
        <f t="shared" si="53"/>
        <v>0</v>
      </c>
      <c r="AQ53" s="118">
        <f t="shared" si="54"/>
        <v>0</v>
      </c>
      <c r="AR53" s="118">
        <f t="shared" si="55"/>
        <v>0</v>
      </c>
      <c r="AS53" s="118">
        <f t="shared" si="56"/>
        <v>0</v>
      </c>
      <c r="AT53" s="118">
        <f t="shared" si="57"/>
        <v>119356.41008902085</v>
      </c>
      <c r="AU53" s="118">
        <f t="shared" si="58"/>
        <v>0</v>
      </c>
      <c r="AV53" s="118">
        <f t="shared" si="59"/>
        <v>46428.426923076921</v>
      </c>
      <c r="AW53" s="118">
        <f t="shared" si="60"/>
        <v>0</v>
      </c>
      <c r="AX53" s="118">
        <f t="shared" si="61"/>
        <v>10959.227999999985</v>
      </c>
      <c r="AY53" s="118">
        <f t="shared" si="62"/>
        <v>0</v>
      </c>
      <c r="AZ53" s="118">
        <v>140000</v>
      </c>
      <c r="BA53" s="118">
        <v>0</v>
      </c>
      <c r="BB53" s="118">
        <v>0</v>
      </c>
      <c r="BC53" s="118"/>
      <c r="BD53" s="118"/>
      <c r="BE53" s="118"/>
      <c r="BF53" s="276">
        <f t="shared" si="39"/>
        <v>1431543.5034142132</v>
      </c>
      <c r="BG53" s="276">
        <f t="shared" si="32"/>
        <v>305643.06989581871</v>
      </c>
      <c r="BH53" s="276">
        <f t="shared" si="33"/>
        <v>140000</v>
      </c>
      <c r="BI53" s="276">
        <f t="shared" si="66"/>
        <v>46428.426923076921</v>
      </c>
      <c r="BJ53" s="276">
        <f t="shared" si="63"/>
        <v>1877186.573310032</v>
      </c>
      <c r="BK53" s="276">
        <v>1737186.57</v>
      </c>
      <c r="BL53" s="119">
        <v>4547.6088300000001</v>
      </c>
      <c r="BM53" s="119">
        <v>4437.2430599999998</v>
      </c>
      <c r="BN53" s="228">
        <v>2.4872599927780251E-2</v>
      </c>
      <c r="BO53" s="228">
        <v>0</v>
      </c>
      <c r="BP53" s="119">
        <v>0</v>
      </c>
      <c r="BQ53" s="281">
        <f t="shared" si="64"/>
        <v>1877186.573310032</v>
      </c>
      <c r="BR53" s="119">
        <v>0</v>
      </c>
      <c r="BS53" s="119">
        <v>0</v>
      </c>
      <c r="BT53" s="120">
        <f t="shared" si="65"/>
        <v>1877186.573310032</v>
      </c>
      <c r="BU53" s="229"/>
      <c r="BV53" s="366">
        <f>VLOOKUP(B53,EYSFF!$A$4:$Z$61,23,0)</f>
        <v>106478.47401755472</v>
      </c>
      <c r="BW53" s="105">
        <f>VLOOKUP(B53,EYSFF!$A$4:$AA$61,24,0)</f>
        <v>0</v>
      </c>
      <c r="BX53" s="303"/>
      <c r="BY53" s="303"/>
      <c r="BZ53" s="107">
        <v>22666.666666666668</v>
      </c>
      <c r="CB53" s="302"/>
      <c r="CC53" s="303"/>
      <c r="CD53" s="303"/>
      <c r="CE53" s="303"/>
      <c r="CF53" s="303"/>
      <c r="CG53" s="303"/>
      <c r="CH53" s="303"/>
      <c r="CI53" s="303"/>
      <c r="CJ53" s="303"/>
      <c r="CK53" s="305"/>
      <c r="CL53" s="2"/>
    </row>
    <row r="54" spans="1:90" ht="14.5" thickBot="1" x14ac:dyDescent="0.3">
      <c r="A54" s="48">
        <v>3122080</v>
      </c>
      <c r="B54" s="135">
        <v>2080</v>
      </c>
      <c r="C54" s="98" t="s">
        <v>159</v>
      </c>
      <c r="D54" s="136">
        <v>322</v>
      </c>
      <c r="E54" s="136">
        <v>322</v>
      </c>
      <c r="F54" s="136">
        <v>0</v>
      </c>
      <c r="G54" s="136">
        <v>0</v>
      </c>
      <c r="H54" s="136">
        <v>0</v>
      </c>
      <c r="I54" s="136">
        <v>52.396449704142015</v>
      </c>
      <c r="J54" s="136">
        <v>0</v>
      </c>
      <c r="K54" s="136">
        <v>22.068535825545162</v>
      </c>
      <c r="L54" s="136">
        <v>4.0124610591900458</v>
      </c>
      <c r="M54" s="136">
        <v>2.0062305295950167</v>
      </c>
      <c r="N54" s="136">
        <v>7.0218068535825484</v>
      </c>
      <c r="O54" s="136">
        <v>3.0093457943925221</v>
      </c>
      <c r="P54" s="136">
        <v>0</v>
      </c>
      <c r="Q54" s="136">
        <v>0</v>
      </c>
      <c r="R54" s="136">
        <v>0</v>
      </c>
      <c r="S54" s="136">
        <v>0</v>
      </c>
      <c r="T54" s="136">
        <v>0</v>
      </c>
      <c r="U54" s="136">
        <v>0</v>
      </c>
      <c r="V54" s="136">
        <v>0</v>
      </c>
      <c r="W54" s="136">
        <v>69.900355871886177</v>
      </c>
      <c r="X54" s="136">
        <v>0</v>
      </c>
      <c r="Y54" s="136">
        <v>109.45454545454544</v>
      </c>
      <c r="Z54" s="136">
        <v>0</v>
      </c>
      <c r="AA54" s="136">
        <v>0</v>
      </c>
      <c r="AB54" s="136">
        <v>0</v>
      </c>
      <c r="AC54" s="226">
        <f t="shared" si="40"/>
        <v>1206693.7384800436</v>
      </c>
      <c r="AD54" s="226">
        <f t="shared" si="41"/>
        <v>0</v>
      </c>
      <c r="AE54" s="226">
        <f t="shared" si="42"/>
        <v>0</v>
      </c>
      <c r="AF54" s="226">
        <f t="shared" si="43"/>
        <v>58205.644082840234</v>
      </c>
      <c r="AG54" s="226">
        <f t="shared" si="44"/>
        <v>0</v>
      </c>
      <c r="AH54" s="118">
        <f t="shared" si="45"/>
        <v>2322.7133956386283</v>
      </c>
      <c r="AI54" s="118">
        <f t="shared" si="46"/>
        <v>844.62305295950466</v>
      </c>
      <c r="AJ54" s="118">
        <f t="shared" si="47"/>
        <v>633.46728971962648</v>
      </c>
      <c r="AK54" s="118">
        <f t="shared" si="48"/>
        <v>2956.180685358253</v>
      </c>
      <c r="AL54" s="118">
        <f t="shared" si="49"/>
        <v>1583.6682242990648</v>
      </c>
      <c r="AM54" s="118">
        <f t="shared" si="50"/>
        <v>0</v>
      </c>
      <c r="AN54" s="118">
        <f t="shared" si="51"/>
        <v>0</v>
      </c>
      <c r="AO54" s="118">
        <f t="shared" si="52"/>
        <v>0</v>
      </c>
      <c r="AP54" s="118">
        <f t="shared" si="53"/>
        <v>0</v>
      </c>
      <c r="AQ54" s="118">
        <f t="shared" si="54"/>
        <v>0</v>
      </c>
      <c r="AR54" s="118">
        <f t="shared" si="55"/>
        <v>0</v>
      </c>
      <c r="AS54" s="118">
        <f t="shared" si="56"/>
        <v>0</v>
      </c>
      <c r="AT54" s="118">
        <f t="shared" si="57"/>
        <v>55340.111743772286</v>
      </c>
      <c r="AU54" s="118">
        <f t="shared" si="58"/>
        <v>0</v>
      </c>
      <c r="AV54" s="118">
        <f t="shared" si="59"/>
        <v>69176.367272727264</v>
      </c>
      <c r="AW54" s="118">
        <f t="shared" si="60"/>
        <v>0</v>
      </c>
      <c r="AX54" s="118">
        <f t="shared" si="61"/>
        <v>0</v>
      </c>
      <c r="AY54" s="118">
        <f t="shared" si="62"/>
        <v>0</v>
      </c>
      <c r="AZ54" s="118">
        <v>140000</v>
      </c>
      <c r="BA54" s="118">
        <v>49210</v>
      </c>
      <c r="BB54" s="118">
        <v>2960</v>
      </c>
      <c r="BC54" s="118"/>
      <c r="BD54" s="118"/>
      <c r="BE54" s="118"/>
      <c r="BF54" s="276">
        <f t="shared" si="39"/>
        <v>1206693.7384800436</v>
      </c>
      <c r="BG54" s="276">
        <f t="shared" si="32"/>
        <v>191062.77574731485</v>
      </c>
      <c r="BH54" s="276">
        <f t="shared" si="33"/>
        <v>192170</v>
      </c>
      <c r="BI54" s="276">
        <f t="shared" si="66"/>
        <v>69176.367272727264</v>
      </c>
      <c r="BJ54" s="276">
        <f t="shared" si="63"/>
        <v>1589926.5142273584</v>
      </c>
      <c r="BK54" s="276">
        <v>1397756.51</v>
      </c>
      <c r="BL54" s="119">
        <v>4340.8587399999997</v>
      </c>
      <c r="BM54" s="119">
        <v>4202.8707999999997</v>
      </c>
      <c r="BN54" s="228">
        <v>3.2831829331438023E-2</v>
      </c>
      <c r="BO54" s="228">
        <v>0</v>
      </c>
      <c r="BP54" s="119">
        <v>0</v>
      </c>
      <c r="BQ54" s="281">
        <f t="shared" si="64"/>
        <v>1589926.5142273584</v>
      </c>
      <c r="BR54" s="119">
        <v>-705.18</v>
      </c>
      <c r="BS54" s="119">
        <v>-408.94</v>
      </c>
      <c r="BT54" s="120">
        <f t="shared" si="65"/>
        <v>1588812.3942273585</v>
      </c>
      <c r="BU54" s="229"/>
      <c r="BV54" s="366">
        <f>VLOOKUP(B54,EYSFF!$A$4:$Z$61,23,0)</f>
        <v>79003.794119872429</v>
      </c>
      <c r="BW54" s="105">
        <f>VLOOKUP(B54,EYSFF!$A$4:$AA$61,24,0)</f>
        <v>27430.758973600379</v>
      </c>
      <c r="BX54" s="303"/>
      <c r="BY54" s="303"/>
      <c r="BZ54" s="107">
        <v>79541.666666666672</v>
      </c>
      <c r="CA54" s="273"/>
      <c r="CB54" s="314">
        <f>$I54*1345</f>
        <v>70473.224852071013</v>
      </c>
      <c r="CC54" s="315">
        <v>9920</v>
      </c>
      <c r="CD54" s="315">
        <v>11725</v>
      </c>
      <c r="CE54" s="303"/>
      <c r="CF54" s="303"/>
      <c r="CG54" s="315">
        <v>7896</v>
      </c>
      <c r="CH54" s="322">
        <v>52241</v>
      </c>
      <c r="CI54" s="105"/>
      <c r="CJ54" s="303"/>
      <c r="CK54" s="305"/>
      <c r="CL54" s="2"/>
    </row>
    <row r="55" spans="1:90" ht="14.5" thickBot="1" x14ac:dyDescent="0.3">
      <c r="A55" s="48">
        <v>3122048</v>
      </c>
      <c r="B55" s="135">
        <v>2048</v>
      </c>
      <c r="C55" s="98" t="s">
        <v>164</v>
      </c>
      <c r="D55" s="136">
        <v>364</v>
      </c>
      <c r="E55" s="136">
        <v>364</v>
      </c>
      <c r="F55" s="136">
        <v>0</v>
      </c>
      <c r="G55" s="136">
        <v>0</v>
      </c>
      <c r="H55" s="136">
        <v>0</v>
      </c>
      <c r="I55" s="136">
        <v>89.0842105263158</v>
      </c>
      <c r="J55" s="136">
        <v>0</v>
      </c>
      <c r="K55" s="136">
        <v>33.999999999999993</v>
      </c>
      <c r="L55" s="136">
        <v>19.999999999999986</v>
      </c>
      <c r="M55" s="136">
        <v>4.0000000000000044</v>
      </c>
      <c r="N55" s="136">
        <v>0</v>
      </c>
      <c r="O55" s="136">
        <v>1.0000000000000011</v>
      </c>
      <c r="P55" s="136">
        <v>0</v>
      </c>
      <c r="Q55" s="136">
        <v>0</v>
      </c>
      <c r="R55" s="136">
        <v>0</v>
      </c>
      <c r="S55" s="136">
        <v>0</v>
      </c>
      <c r="T55" s="136">
        <v>0</v>
      </c>
      <c r="U55" s="136">
        <v>0</v>
      </c>
      <c r="V55" s="136">
        <v>0</v>
      </c>
      <c r="W55" s="136">
        <v>73.257861635220081</v>
      </c>
      <c r="X55" s="136">
        <v>0</v>
      </c>
      <c r="Y55" s="136">
        <v>90.086956521739125</v>
      </c>
      <c r="Z55" s="136">
        <v>0</v>
      </c>
      <c r="AA55" s="136">
        <v>6.2371349862258922</v>
      </c>
      <c r="AB55" s="136">
        <v>0</v>
      </c>
      <c r="AC55" s="226">
        <f t="shared" si="40"/>
        <v>1364088.5739339623</v>
      </c>
      <c r="AD55" s="226">
        <f t="shared" si="41"/>
        <v>0</v>
      </c>
      <c r="AE55" s="226">
        <f t="shared" si="42"/>
        <v>0</v>
      </c>
      <c r="AF55" s="226">
        <f t="shared" si="43"/>
        <v>98960.976947368428</v>
      </c>
      <c r="AG55" s="226">
        <f t="shared" si="44"/>
        <v>0</v>
      </c>
      <c r="AH55" s="118">
        <f t="shared" si="45"/>
        <v>3578.4999999999991</v>
      </c>
      <c r="AI55" s="118">
        <f t="shared" si="46"/>
        <v>4209.9999999999973</v>
      </c>
      <c r="AJ55" s="118">
        <f t="shared" si="47"/>
        <v>1263.0000000000014</v>
      </c>
      <c r="AK55" s="118">
        <f t="shared" si="48"/>
        <v>0</v>
      </c>
      <c r="AL55" s="118">
        <f t="shared" si="49"/>
        <v>526.25000000000057</v>
      </c>
      <c r="AM55" s="118">
        <f t="shared" si="50"/>
        <v>0</v>
      </c>
      <c r="AN55" s="118">
        <f t="shared" si="51"/>
        <v>0</v>
      </c>
      <c r="AO55" s="118">
        <f t="shared" si="52"/>
        <v>0</v>
      </c>
      <c r="AP55" s="118">
        <f t="shared" si="53"/>
        <v>0</v>
      </c>
      <c r="AQ55" s="118">
        <f t="shared" si="54"/>
        <v>0</v>
      </c>
      <c r="AR55" s="118">
        <f t="shared" si="55"/>
        <v>0</v>
      </c>
      <c r="AS55" s="118">
        <f t="shared" si="56"/>
        <v>0</v>
      </c>
      <c r="AT55" s="118">
        <f t="shared" si="57"/>
        <v>57998.249056603745</v>
      </c>
      <c r="AU55" s="118">
        <f t="shared" si="58"/>
        <v>0</v>
      </c>
      <c r="AV55" s="118">
        <f t="shared" si="59"/>
        <v>56935.857391304344</v>
      </c>
      <c r="AW55" s="118">
        <f t="shared" si="60"/>
        <v>0</v>
      </c>
      <c r="AX55" s="118">
        <f t="shared" si="61"/>
        <v>6169.1502148760301</v>
      </c>
      <c r="AY55" s="118">
        <f t="shared" si="62"/>
        <v>0</v>
      </c>
      <c r="AZ55" s="118">
        <v>140000</v>
      </c>
      <c r="BA55" s="118">
        <v>15600</v>
      </c>
      <c r="BB55" s="118">
        <v>900</v>
      </c>
      <c r="BC55" s="118"/>
      <c r="BD55" s="118"/>
      <c r="BE55" s="118"/>
      <c r="BF55" s="276">
        <f t="shared" si="39"/>
        <v>1364088.5739339623</v>
      </c>
      <c r="BG55" s="276">
        <f t="shared" si="32"/>
        <v>229641.98361015253</v>
      </c>
      <c r="BH55" s="276">
        <f t="shared" si="33"/>
        <v>156500</v>
      </c>
      <c r="BI55" s="276">
        <f t="shared" ref="BI55:BI96" si="67">SUM(AV55:AW55)</f>
        <v>56935.857391304344</v>
      </c>
      <c r="BJ55" s="276">
        <f t="shared" si="63"/>
        <v>1750230.5575441148</v>
      </c>
      <c r="BK55" s="276">
        <v>1593730.56</v>
      </c>
      <c r="BL55" s="119">
        <v>4378.3806500000001</v>
      </c>
      <c r="BM55" s="119">
        <v>4292.7083300000004</v>
      </c>
      <c r="BN55" s="228">
        <v>1.9957638972322243E-2</v>
      </c>
      <c r="BO55" s="228">
        <v>0</v>
      </c>
      <c r="BP55" s="119">
        <v>0</v>
      </c>
      <c r="BQ55" s="281">
        <f t="shared" si="64"/>
        <v>1750230.5575441148</v>
      </c>
      <c r="BR55" s="119">
        <v>0</v>
      </c>
      <c r="BS55" s="119">
        <v>0</v>
      </c>
      <c r="BT55" s="120">
        <f t="shared" si="65"/>
        <v>1750230.5575441148</v>
      </c>
      <c r="BU55" s="229"/>
      <c r="BV55" s="366">
        <f>VLOOKUP(B55,EYSFF!$A$4:$Z$61,23,0)</f>
        <v>107607.08722159486</v>
      </c>
      <c r="BW55" s="105">
        <f>VLOOKUP(B55,EYSFF!$A$4:$AA$61,24,0)</f>
        <v>27631.036703737838</v>
      </c>
      <c r="BX55" s="303"/>
      <c r="BY55" s="303"/>
      <c r="BZ55" s="107">
        <v>22241.666666666664</v>
      </c>
      <c r="CB55" s="302"/>
      <c r="CC55" s="303"/>
      <c r="CD55" s="303"/>
      <c r="CE55" s="303"/>
      <c r="CF55" s="303"/>
      <c r="CG55" s="303"/>
      <c r="CH55" s="303"/>
      <c r="CI55" s="303"/>
      <c r="CJ55" s="303"/>
      <c r="CK55" s="305"/>
      <c r="CL55" s="2"/>
    </row>
    <row r="56" spans="1:90" ht="14.5" thickBot="1" x14ac:dyDescent="0.3">
      <c r="A56" s="48">
        <v>3123405</v>
      </c>
      <c r="B56" s="135">
        <v>3405</v>
      </c>
      <c r="C56" s="98" t="s">
        <v>168</v>
      </c>
      <c r="D56" s="136">
        <v>616</v>
      </c>
      <c r="E56" s="136">
        <v>616</v>
      </c>
      <c r="F56" s="136">
        <v>0</v>
      </c>
      <c r="G56" s="136">
        <v>0</v>
      </c>
      <c r="H56" s="136">
        <v>0</v>
      </c>
      <c r="I56" s="136">
        <v>37.181076672104403</v>
      </c>
      <c r="J56" s="136">
        <v>0</v>
      </c>
      <c r="K56" s="136">
        <v>58.000000000000028</v>
      </c>
      <c r="L56" s="136">
        <v>12.000000000000012</v>
      </c>
      <c r="M56" s="136">
        <v>2.0000000000000022</v>
      </c>
      <c r="N56" s="136">
        <v>0</v>
      </c>
      <c r="O56" s="136">
        <v>0.99999999999999789</v>
      </c>
      <c r="P56" s="136">
        <v>0</v>
      </c>
      <c r="Q56" s="136">
        <v>0</v>
      </c>
      <c r="R56" s="136">
        <v>0</v>
      </c>
      <c r="S56" s="136">
        <v>0</v>
      </c>
      <c r="T56" s="136">
        <v>0</v>
      </c>
      <c r="U56" s="136">
        <v>0</v>
      </c>
      <c r="V56" s="136">
        <v>0</v>
      </c>
      <c r="W56" s="136">
        <v>67.795066413662269</v>
      </c>
      <c r="X56" s="136">
        <v>0</v>
      </c>
      <c r="Y56" s="136">
        <v>159.61612284069096</v>
      </c>
      <c r="Z56" s="136">
        <v>0</v>
      </c>
      <c r="AA56" s="136">
        <v>0</v>
      </c>
      <c r="AB56" s="136">
        <v>0</v>
      </c>
      <c r="AC56" s="226">
        <f t="shared" si="40"/>
        <v>2308457.5866574747</v>
      </c>
      <c r="AD56" s="226">
        <f t="shared" si="41"/>
        <v>0</v>
      </c>
      <c r="AE56" s="226">
        <f t="shared" si="42"/>
        <v>0</v>
      </c>
      <c r="AF56" s="226">
        <f t="shared" si="43"/>
        <v>41303.342642740616</v>
      </c>
      <c r="AG56" s="226">
        <f t="shared" si="44"/>
        <v>0</v>
      </c>
      <c r="AH56" s="118">
        <f t="shared" si="45"/>
        <v>6104.5000000000027</v>
      </c>
      <c r="AI56" s="118">
        <f t="shared" si="46"/>
        <v>2526.0000000000027</v>
      </c>
      <c r="AJ56" s="118">
        <f t="shared" si="47"/>
        <v>631.50000000000068</v>
      </c>
      <c r="AK56" s="118">
        <f t="shared" si="48"/>
        <v>0</v>
      </c>
      <c r="AL56" s="118">
        <f t="shared" si="49"/>
        <v>526.24999999999886</v>
      </c>
      <c r="AM56" s="118">
        <f t="shared" si="50"/>
        <v>0</v>
      </c>
      <c r="AN56" s="118">
        <f t="shared" si="51"/>
        <v>0</v>
      </c>
      <c r="AO56" s="118">
        <f t="shared" si="52"/>
        <v>0</v>
      </c>
      <c r="AP56" s="118">
        <f t="shared" si="53"/>
        <v>0</v>
      </c>
      <c r="AQ56" s="118">
        <f t="shared" si="54"/>
        <v>0</v>
      </c>
      <c r="AR56" s="118">
        <f t="shared" si="55"/>
        <v>0</v>
      </c>
      <c r="AS56" s="118">
        <f t="shared" si="56"/>
        <v>0</v>
      </c>
      <c r="AT56" s="118">
        <f t="shared" si="57"/>
        <v>53673.354079696423</v>
      </c>
      <c r="AU56" s="118">
        <f t="shared" si="58"/>
        <v>0</v>
      </c>
      <c r="AV56" s="118">
        <f t="shared" si="59"/>
        <v>100878.98579654509</v>
      </c>
      <c r="AW56" s="118">
        <f t="shared" si="60"/>
        <v>0</v>
      </c>
      <c r="AX56" s="118">
        <f t="shared" si="61"/>
        <v>0</v>
      </c>
      <c r="AY56" s="118">
        <f t="shared" si="62"/>
        <v>0</v>
      </c>
      <c r="AZ56" s="118">
        <v>140000</v>
      </c>
      <c r="BA56" s="118">
        <v>24692</v>
      </c>
      <c r="BB56" s="118">
        <v>4492</v>
      </c>
      <c r="BC56" s="118"/>
      <c r="BD56" s="118"/>
      <c r="BE56" s="118"/>
      <c r="BF56" s="276">
        <f t="shared" si="39"/>
        <v>2308457.5866574747</v>
      </c>
      <c r="BG56" s="276">
        <f t="shared" si="32"/>
        <v>205643.93251898215</v>
      </c>
      <c r="BH56" s="276">
        <f t="shared" si="33"/>
        <v>169184</v>
      </c>
      <c r="BI56" s="276">
        <f t="shared" si="67"/>
        <v>100878.98579654509</v>
      </c>
      <c r="BJ56" s="276">
        <f t="shared" si="63"/>
        <v>2683285.5191764571</v>
      </c>
      <c r="BK56" s="276">
        <v>2514101.52</v>
      </c>
      <c r="BL56" s="119">
        <v>4081.3336399999998</v>
      </c>
      <c r="BM56" s="119">
        <v>3944.6832599999998</v>
      </c>
      <c r="BN56" s="228">
        <v>3.4641659668502661E-2</v>
      </c>
      <c r="BO56" s="228">
        <v>0</v>
      </c>
      <c r="BP56" s="119">
        <v>0</v>
      </c>
      <c r="BQ56" s="281">
        <f t="shared" si="64"/>
        <v>2683285.5191764571</v>
      </c>
      <c r="BR56" s="119">
        <v>-1349.04</v>
      </c>
      <c r="BS56" s="119">
        <v>-782.32</v>
      </c>
      <c r="BT56" s="120">
        <f t="shared" si="65"/>
        <v>2681154.1591764572</v>
      </c>
      <c r="BU56" s="229"/>
      <c r="BV56" s="366">
        <f>VLOOKUP(B56,EYSFF!$A$4:$Z$61,23,0)</f>
        <v>170530.26734555484</v>
      </c>
      <c r="BW56" s="105">
        <f>VLOOKUP(B56,EYSFF!$A$4:$AA$61,24,0)</f>
        <v>0</v>
      </c>
      <c r="BX56" s="303"/>
      <c r="BY56" s="303"/>
      <c r="BZ56" s="107">
        <v>75566.666666666657</v>
      </c>
      <c r="CA56" s="273"/>
      <c r="CB56" s="314">
        <f>$I56*1345</f>
        <v>50008.548123980421</v>
      </c>
      <c r="CC56" s="315">
        <v>1240</v>
      </c>
      <c r="CD56" s="315">
        <v>2345</v>
      </c>
      <c r="CE56" s="303"/>
      <c r="CF56" s="303"/>
      <c r="CG56" s="315">
        <v>8854</v>
      </c>
      <c r="CH56" s="322">
        <v>101592</v>
      </c>
      <c r="CI56" s="105"/>
      <c r="CJ56" s="303"/>
      <c r="CK56" s="305"/>
    </row>
    <row r="57" spans="1:90" ht="14.5" thickBot="1" x14ac:dyDescent="0.3">
      <c r="A57" s="48">
        <v>3125208</v>
      </c>
      <c r="B57" s="135">
        <v>5208</v>
      </c>
      <c r="C57" s="98" t="s">
        <v>172</v>
      </c>
      <c r="D57" s="136">
        <v>194</v>
      </c>
      <c r="E57" s="136">
        <v>194</v>
      </c>
      <c r="F57" s="136">
        <v>0</v>
      </c>
      <c r="G57" s="136">
        <v>0</v>
      </c>
      <c r="H57" s="136">
        <v>0</v>
      </c>
      <c r="I57" s="136">
        <v>46.000000000000064</v>
      </c>
      <c r="J57" s="136">
        <v>0</v>
      </c>
      <c r="K57" s="136">
        <v>45.000000000000014</v>
      </c>
      <c r="L57" s="136">
        <v>51.999999999999986</v>
      </c>
      <c r="M57" s="136">
        <v>9.0000000000000036</v>
      </c>
      <c r="N57" s="136">
        <v>0.99999999999999967</v>
      </c>
      <c r="O57" s="136">
        <v>0</v>
      </c>
      <c r="P57" s="136">
        <v>0</v>
      </c>
      <c r="Q57" s="136">
        <v>0</v>
      </c>
      <c r="R57" s="136">
        <v>0</v>
      </c>
      <c r="S57" s="136">
        <v>0</v>
      </c>
      <c r="T57" s="136">
        <v>0</v>
      </c>
      <c r="U57" s="136">
        <v>0</v>
      </c>
      <c r="V57" s="136">
        <v>0</v>
      </c>
      <c r="W57" s="136">
        <v>31.745454545454614</v>
      </c>
      <c r="X57" s="136">
        <v>0</v>
      </c>
      <c r="Y57" s="136">
        <v>50.105960264900659</v>
      </c>
      <c r="Z57" s="136">
        <v>0</v>
      </c>
      <c r="AA57" s="136">
        <v>0</v>
      </c>
      <c r="AB57" s="136">
        <v>0</v>
      </c>
      <c r="AC57" s="226">
        <f t="shared" si="40"/>
        <v>727014.23995381501</v>
      </c>
      <c r="AD57" s="226">
        <f t="shared" si="41"/>
        <v>0</v>
      </c>
      <c r="AE57" s="226">
        <f t="shared" si="42"/>
        <v>0</v>
      </c>
      <c r="AF57" s="226">
        <f t="shared" si="43"/>
        <v>51100.02000000007</v>
      </c>
      <c r="AG57" s="226">
        <f t="shared" si="44"/>
        <v>0</v>
      </c>
      <c r="AH57" s="118">
        <f t="shared" si="45"/>
        <v>4736.2500000000018</v>
      </c>
      <c r="AI57" s="118">
        <f t="shared" si="46"/>
        <v>10945.999999999996</v>
      </c>
      <c r="AJ57" s="118">
        <f t="shared" si="47"/>
        <v>2841.7500000000009</v>
      </c>
      <c r="AK57" s="118">
        <f t="shared" si="48"/>
        <v>420.99999999999989</v>
      </c>
      <c r="AL57" s="118">
        <f t="shared" si="49"/>
        <v>0</v>
      </c>
      <c r="AM57" s="118">
        <f t="shared" si="50"/>
        <v>0</v>
      </c>
      <c r="AN57" s="118">
        <f t="shared" si="51"/>
        <v>0</v>
      </c>
      <c r="AO57" s="118">
        <f t="shared" si="52"/>
        <v>0</v>
      </c>
      <c r="AP57" s="118">
        <f t="shared" si="53"/>
        <v>0</v>
      </c>
      <c r="AQ57" s="118">
        <f t="shared" si="54"/>
        <v>0</v>
      </c>
      <c r="AR57" s="118">
        <f t="shared" si="55"/>
        <v>0</v>
      </c>
      <c r="AS57" s="118">
        <f t="shared" si="56"/>
        <v>0</v>
      </c>
      <c r="AT57" s="118">
        <f t="shared" si="57"/>
        <v>25132.87636363642</v>
      </c>
      <c r="AU57" s="118">
        <f t="shared" si="58"/>
        <v>0</v>
      </c>
      <c r="AV57" s="118">
        <f t="shared" si="59"/>
        <v>31667.467947019864</v>
      </c>
      <c r="AW57" s="118">
        <f t="shared" si="60"/>
        <v>0</v>
      </c>
      <c r="AX57" s="118">
        <f t="shared" si="61"/>
        <v>0</v>
      </c>
      <c r="AY57" s="118">
        <f t="shared" si="62"/>
        <v>0</v>
      </c>
      <c r="AZ57" s="118">
        <v>140000</v>
      </c>
      <c r="BA57" s="118">
        <v>4134</v>
      </c>
      <c r="BB57" s="118">
        <v>246</v>
      </c>
      <c r="BC57" s="118"/>
      <c r="BD57" s="118"/>
      <c r="BE57" s="118"/>
      <c r="BF57" s="276">
        <f t="shared" si="39"/>
        <v>727014.23995381501</v>
      </c>
      <c r="BG57" s="276">
        <f t="shared" si="32"/>
        <v>126845.36431065634</v>
      </c>
      <c r="BH57" s="276">
        <f t="shared" si="33"/>
        <v>144380</v>
      </c>
      <c r="BI57" s="276">
        <f t="shared" si="67"/>
        <v>31667.467947019864</v>
      </c>
      <c r="BJ57" s="276">
        <f t="shared" si="63"/>
        <v>998239.60426447133</v>
      </c>
      <c r="BK57" s="276">
        <v>853859.6</v>
      </c>
      <c r="BL57" s="119">
        <v>4401.33817</v>
      </c>
      <c r="BM57" s="119">
        <v>4254.7270500000004</v>
      </c>
      <c r="BN57" s="228">
        <v>3.4458405858689867E-2</v>
      </c>
      <c r="BO57" s="228">
        <v>0</v>
      </c>
      <c r="BP57" s="119">
        <v>0</v>
      </c>
      <c r="BQ57" s="281">
        <f t="shared" si="64"/>
        <v>998239.60426447133</v>
      </c>
      <c r="BR57" s="119">
        <v>-424.86</v>
      </c>
      <c r="BS57" s="119">
        <v>-246.38</v>
      </c>
      <c r="BT57" s="120">
        <f t="shared" si="65"/>
        <v>997568.36426447134</v>
      </c>
      <c r="BU57" s="229"/>
      <c r="BV57" s="366">
        <f>VLOOKUP(B57,EYSFF!$A$4:$Z$61,23,0)</f>
        <v>68701.729874944969</v>
      </c>
      <c r="BW57" s="105">
        <f>VLOOKUP(B57,EYSFF!$A$4:$AA$61,24,0)</f>
        <v>34087.975664991827</v>
      </c>
      <c r="BX57" s="303"/>
      <c r="BY57" s="303"/>
      <c r="BZ57" s="107">
        <v>24583.333333333332</v>
      </c>
      <c r="CA57" s="273"/>
      <c r="CB57" s="314">
        <f>$I57*1345</f>
        <v>61870.000000000087</v>
      </c>
      <c r="CC57" s="315">
        <v>620</v>
      </c>
      <c r="CD57" s="315">
        <v>0</v>
      </c>
      <c r="CE57" s="303"/>
      <c r="CF57" s="303"/>
      <c r="CG57" s="315">
        <v>7325</v>
      </c>
      <c r="CH57" s="322">
        <v>24454</v>
      </c>
      <c r="CI57" s="105"/>
      <c r="CJ57" s="303"/>
      <c r="CK57" s="305"/>
    </row>
    <row r="58" spans="1:90" ht="14.5" thickBot="1" x14ac:dyDescent="0.3">
      <c r="A58" s="48">
        <v>3123402</v>
      </c>
      <c r="B58" s="135">
        <v>3402</v>
      </c>
      <c r="C58" s="98" t="s">
        <v>174</v>
      </c>
      <c r="D58" s="136">
        <v>389</v>
      </c>
      <c r="E58" s="136">
        <v>389</v>
      </c>
      <c r="F58" s="136">
        <v>0</v>
      </c>
      <c r="G58" s="136">
        <v>0</v>
      </c>
      <c r="H58" s="136">
        <v>0</v>
      </c>
      <c r="I58" s="136">
        <v>34.239608801955988</v>
      </c>
      <c r="J58" s="136">
        <v>0</v>
      </c>
      <c r="K58" s="136">
        <v>63.000000000000107</v>
      </c>
      <c r="L58" s="136">
        <v>61.999999999999943</v>
      </c>
      <c r="M58" s="136">
        <v>6.0000000000000027</v>
      </c>
      <c r="N58" s="136">
        <v>1.0000000000000004</v>
      </c>
      <c r="O58" s="136">
        <v>1.0000000000000004</v>
      </c>
      <c r="P58" s="136">
        <v>0</v>
      </c>
      <c r="Q58" s="136">
        <v>0</v>
      </c>
      <c r="R58" s="136">
        <v>0</v>
      </c>
      <c r="S58" s="136">
        <v>0</v>
      </c>
      <c r="T58" s="136">
        <v>0</v>
      </c>
      <c r="U58" s="136">
        <v>0</v>
      </c>
      <c r="V58" s="136">
        <v>0</v>
      </c>
      <c r="W58" s="136">
        <v>50.789317507418566</v>
      </c>
      <c r="X58" s="136">
        <v>0</v>
      </c>
      <c r="Y58" s="136">
        <v>83.605970149253736</v>
      </c>
      <c r="Z58" s="136">
        <v>0</v>
      </c>
      <c r="AA58" s="136">
        <v>0</v>
      </c>
      <c r="AB58" s="136">
        <v>0</v>
      </c>
      <c r="AC58" s="226">
        <f t="shared" si="40"/>
        <v>1457775.9759898663</v>
      </c>
      <c r="AD58" s="226">
        <f t="shared" si="41"/>
        <v>0</v>
      </c>
      <c r="AE58" s="226">
        <f t="shared" si="42"/>
        <v>0</v>
      </c>
      <c r="AF58" s="226">
        <f t="shared" si="43"/>
        <v>38035.754229828846</v>
      </c>
      <c r="AG58" s="226">
        <f t="shared" si="44"/>
        <v>0</v>
      </c>
      <c r="AH58" s="118">
        <f t="shared" si="45"/>
        <v>6630.7500000000109</v>
      </c>
      <c r="AI58" s="118">
        <f t="shared" si="46"/>
        <v>13050.999999999987</v>
      </c>
      <c r="AJ58" s="118">
        <f t="shared" si="47"/>
        <v>1894.5000000000009</v>
      </c>
      <c r="AK58" s="118">
        <f t="shared" si="48"/>
        <v>421.00000000000017</v>
      </c>
      <c r="AL58" s="118">
        <f t="shared" si="49"/>
        <v>526.25000000000023</v>
      </c>
      <c r="AM58" s="118">
        <f t="shared" si="50"/>
        <v>0</v>
      </c>
      <c r="AN58" s="118">
        <f t="shared" si="51"/>
        <v>0</v>
      </c>
      <c r="AO58" s="118">
        <f t="shared" si="52"/>
        <v>0</v>
      </c>
      <c r="AP58" s="118">
        <f t="shared" si="53"/>
        <v>0</v>
      </c>
      <c r="AQ58" s="118">
        <f t="shared" si="54"/>
        <v>0</v>
      </c>
      <c r="AR58" s="118">
        <f t="shared" si="55"/>
        <v>0</v>
      </c>
      <c r="AS58" s="118">
        <f t="shared" si="56"/>
        <v>0</v>
      </c>
      <c r="AT58" s="118">
        <f t="shared" si="57"/>
        <v>40209.902670623283</v>
      </c>
      <c r="AU58" s="118">
        <f t="shared" si="58"/>
        <v>0</v>
      </c>
      <c r="AV58" s="118">
        <f t="shared" si="59"/>
        <v>52839.809194029855</v>
      </c>
      <c r="AW58" s="118">
        <f t="shared" si="60"/>
        <v>0</v>
      </c>
      <c r="AX58" s="118">
        <f t="shared" si="61"/>
        <v>0</v>
      </c>
      <c r="AY58" s="118">
        <f t="shared" si="62"/>
        <v>0</v>
      </c>
      <c r="AZ58" s="118">
        <v>140000</v>
      </c>
      <c r="BA58" s="118">
        <v>4710</v>
      </c>
      <c r="BB58" s="118">
        <v>294</v>
      </c>
      <c r="BC58" s="118"/>
      <c r="BD58" s="118"/>
      <c r="BE58" s="118"/>
      <c r="BF58" s="276">
        <f t="shared" si="39"/>
        <v>1457775.9759898663</v>
      </c>
      <c r="BG58" s="276">
        <f t="shared" si="32"/>
        <v>153608.96609448199</v>
      </c>
      <c r="BH58" s="276">
        <f t="shared" si="33"/>
        <v>145004</v>
      </c>
      <c r="BI58" s="276">
        <f t="shared" si="67"/>
        <v>52839.809194029855</v>
      </c>
      <c r="BJ58" s="276">
        <f t="shared" si="63"/>
        <v>1756388.9420843483</v>
      </c>
      <c r="BK58" s="276">
        <v>1611384.94</v>
      </c>
      <c r="BL58" s="119">
        <v>4142.3777399999999</v>
      </c>
      <c r="BM58" s="119">
        <v>4054.6069699999998</v>
      </c>
      <c r="BN58" s="228">
        <v>2.1647172003573113E-2</v>
      </c>
      <c r="BO58" s="228">
        <v>0</v>
      </c>
      <c r="BP58" s="119">
        <v>0</v>
      </c>
      <c r="BQ58" s="281">
        <f t="shared" si="64"/>
        <v>1756388.9420843483</v>
      </c>
      <c r="BR58" s="119">
        <v>-851.91</v>
      </c>
      <c r="BS58" s="119">
        <v>-494.03000000000003</v>
      </c>
      <c r="BT58" s="120">
        <f t="shared" si="65"/>
        <v>1755043.0020843484</v>
      </c>
      <c r="BU58" s="229"/>
      <c r="BV58" s="366">
        <f>VLOOKUP(B58,EYSFF!$A$4:$Z$61,23,0)</f>
        <v>107496.20942342946</v>
      </c>
      <c r="BW58" s="105">
        <f>VLOOKUP(B58,EYSFF!$A$4:$AA$61,24,0)</f>
        <v>54280.264164305969</v>
      </c>
      <c r="BX58" s="303"/>
      <c r="BY58" s="303"/>
      <c r="BZ58" s="107">
        <v>74000</v>
      </c>
      <c r="CA58" s="273"/>
      <c r="CB58" s="314">
        <f>$I58*1345</f>
        <v>46052.273838630805</v>
      </c>
      <c r="CC58" s="315">
        <v>1240</v>
      </c>
      <c r="CD58" s="315">
        <v>7035</v>
      </c>
      <c r="CE58" s="303"/>
      <c r="CF58" s="303"/>
      <c r="CG58" s="315">
        <v>8125</v>
      </c>
      <c r="CH58" s="322">
        <v>54420</v>
      </c>
      <c r="CI58" s="105"/>
      <c r="CJ58" s="303"/>
      <c r="CK58" s="305"/>
    </row>
    <row r="59" spans="1:90" ht="14.5" thickBot="1" x14ac:dyDescent="0.3">
      <c r="A59" s="48">
        <v>3122035</v>
      </c>
      <c r="B59" s="135">
        <v>2035</v>
      </c>
      <c r="C59" s="98" t="s">
        <v>175</v>
      </c>
      <c r="D59" s="136">
        <v>294.8</v>
      </c>
      <c r="E59" s="136">
        <v>294.8</v>
      </c>
      <c r="F59" s="136">
        <v>0</v>
      </c>
      <c r="G59" s="136">
        <v>0</v>
      </c>
      <c r="H59" s="136">
        <v>0</v>
      </c>
      <c r="I59" s="136">
        <v>75.899999999999949</v>
      </c>
      <c r="J59" s="136">
        <v>0</v>
      </c>
      <c r="K59" s="136">
        <v>39.748314606741481</v>
      </c>
      <c r="L59" s="136">
        <v>139.11910112359564</v>
      </c>
      <c r="M59" s="136">
        <v>9.9370786516853844</v>
      </c>
      <c r="N59" s="136">
        <v>36.435955056179914</v>
      </c>
      <c r="O59" s="136">
        <v>0</v>
      </c>
      <c r="P59" s="136">
        <v>0</v>
      </c>
      <c r="Q59" s="136">
        <v>0</v>
      </c>
      <c r="R59" s="136">
        <v>0</v>
      </c>
      <c r="S59" s="136">
        <v>0</v>
      </c>
      <c r="T59" s="136">
        <v>0</v>
      </c>
      <c r="U59" s="136">
        <v>0</v>
      </c>
      <c r="V59" s="136">
        <v>0</v>
      </c>
      <c r="W59" s="136">
        <v>61.416666666666572</v>
      </c>
      <c r="X59" s="136">
        <v>0</v>
      </c>
      <c r="Y59" s="136">
        <v>98.266666666666666</v>
      </c>
      <c r="Z59" s="136">
        <v>0</v>
      </c>
      <c r="AA59" s="136">
        <v>2.1119999999999965</v>
      </c>
      <c r="AB59" s="136">
        <v>0</v>
      </c>
      <c r="AC59" s="226">
        <v>1104833.0150000001</v>
      </c>
      <c r="AD59" s="226">
        <f t="shared" si="41"/>
        <v>0</v>
      </c>
      <c r="AE59" s="226">
        <f t="shared" si="42"/>
        <v>0</v>
      </c>
      <c r="AF59" s="226">
        <f t="shared" si="43"/>
        <v>84315.032999999938</v>
      </c>
      <c r="AG59" s="226">
        <f t="shared" si="44"/>
        <v>0</v>
      </c>
      <c r="AH59" s="118">
        <f t="shared" si="45"/>
        <v>4183.5101123595405</v>
      </c>
      <c r="AI59" s="118">
        <f t="shared" si="46"/>
        <v>29284.570786516881</v>
      </c>
      <c r="AJ59" s="118">
        <f t="shared" si="47"/>
        <v>3137.6325842696601</v>
      </c>
      <c r="AK59" s="118">
        <f t="shared" si="48"/>
        <v>15339.537078651743</v>
      </c>
      <c r="AL59" s="118">
        <f t="shared" si="49"/>
        <v>0</v>
      </c>
      <c r="AM59" s="118">
        <f t="shared" si="50"/>
        <v>0</v>
      </c>
      <c r="AN59" s="118">
        <f t="shared" si="51"/>
        <v>0</v>
      </c>
      <c r="AO59" s="118">
        <f t="shared" si="52"/>
        <v>0</v>
      </c>
      <c r="AP59" s="118">
        <f t="shared" si="53"/>
        <v>0</v>
      </c>
      <c r="AQ59" s="118">
        <f t="shared" si="54"/>
        <v>0</v>
      </c>
      <c r="AR59" s="118">
        <f t="shared" si="55"/>
        <v>0</v>
      </c>
      <c r="AS59" s="118">
        <f t="shared" si="56"/>
        <v>0</v>
      </c>
      <c r="AT59" s="118">
        <f t="shared" si="57"/>
        <v>48623.574999999924</v>
      </c>
      <c r="AU59" s="118">
        <f t="shared" si="58"/>
        <v>0</v>
      </c>
      <c r="AV59" s="118">
        <f t="shared" si="59"/>
        <v>62105.515999999996</v>
      </c>
      <c r="AW59" s="118">
        <f t="shared" si="60"/>
        <v>0</v>
      </c>
      <c r="AX59" s="118">
        <f t="shared" si="61"/>
        <v>2088.9791999999966</v>
      </c>
      <c r="AY59" s="118">
        <f t="shared" si="62"/>
        <v>0</v>
      </c>
      <c r="AZ59" s="118">
        <v>140000</v>
      </c>
      <c r="BA59" s="118">
        <v>10161</v>
      </c>
      <c r="BB59" s="118">
        <v>611</v>
      </c>
      <c r="BC59" s="118"/>
      <c r="BD59" s="118"/>
      <c r="BE59" s="118">
        <v>-34340</v>
      </c>
      <c r="BF59" s="276">
        <f t="shared" si="39"/>
        <v>1104833.0150000001</v>
      </c>
      <c r="BG59" s="276">
        <f t="shared" si="32"/>
        <v>249078.35376179768</v>
      </c>
      <c r="BH59" s="276">
        <f t="shared" si="33"/>
        <v>116432</v>
      </c>
      <c r="BI59" s="276">
        <f t="shared" si="67"/>
        <v>62105.515999999996</v>
      </c>
      <c r="BJ59" s="276">
        <f t="shared" si="63"/>
        <v>1470343.3687617979</v>
      </c>
      <c r="BK59" s="276">
        <v>1353840.2</v>
      </c>
      <c r="BL59" s="119">
        <v>4592.4022999999997</v>
      </c>
      <c r="BM59" s="119">
        <v>4149.8875900000003</v>
      </c>
      <c r="BN59" s="228">
        <v>0.10663293905435615</v>
      </c>
      <c r="BO59" s="228">
        <v>0</v>
      </c>
      <c r="BP59" s="119">
        <v>0</v>
      </c>
      <c r="BQ59" s="281">
        <f t="shared" si="64"/>
        <v>1470343.3687617979</v>
      </c>
      <c r="BR59" s="119">
        <v>0</v>
      </c>
      <c r="BS59" s="119">
        <v>0</v>
      </c>
      <c r="BT59" s="120">
        <f t="shared" si="65"/>
        <v>1470343.3687617979</v>
      </c>
      <c r="BU59" s="229"/>
      <c r="BV59" s="366">
        <f>VLOOKUP(B59,EYSFF!$A$4:$Z$61,23,0)</f>
        <v>65960.508044952338</v>
      </c>
      <c r="BW59" s="105">
        <f>VLOOKUP(B59,EYSFF!$A$4:$AA$61,24,0)</f>
        <v>0</v>
      </c>
      <c r="BX59" s="303"/>
      <c r="BY59" s="303"/>
      <c r="BZ59" s="107">
        <v>98500</v>
      </c>
      <c r="CB59" s="302"/>
      <c r="CC59" s="303"/>
      <c r="CD59" s="303"/>
      <c r="CE59" s="303"/>
      <c r="CF59" s="303"/>
      <c r="CG59" s="303"/>
      <c r="CH59" s="303"/>
      <c r="CI59" s="303"/>
      <c r="CJ59" s="303"/>
      <c r="CK59" s="305"/>
      <c r="CL59" s="2"/>
    </row>
    <row r="60" spans="1:90" ht="14.5" thickBot="1" x14ac:dyDescent="0.3">
      <c r="A60" s="48">
        <v>3123404</v>
      </c>
      <c r="B60" s="135">
        <v>3404</v>
      </c>
      <c r="C60" s="98" t="s">
        <v>178</v>
      </c>
      <c r="D60" s="136">
        <v>210</v>
      </c>
      <c r="E60" s="136">
        <v>210</v>
      </c>
      <c r="F60" s="136">
        <v>0</v>
      </c>
      <c r="G60" s="136">
        <v>0</v>
      </c>
      <c r="H60" s="136">
        <v>0</v>
      </c>
      <c r="I60" s="136">
        <v>17.000000000000011</v>
      </c>
      <c r="J60" s="136">
        <v>0</v>
      </c>
      <c r="K60" s="136">
        <v>23.99999999999994</v>
      </c>
      <c r="L60" s="136">
        <v>65.999999999999943</v>
      </c>
      <c r="M60" s="136">
        <v>34.000000000000021</v>
      </c>
      <c r="N60" s="136">
        <v>4.9999999999999982</v>
      </c>
      <c r="O60" s="136">
        <v>0</v>
      </c>
      <c r="P60" s="136">
        <v>0</v>
      </c>
      <c r="Q60" s="136">
        <v>0</v>
      </c>
      <c r="R60" s="136">
        <v>0</v>
      </c>
      <c r="S60" s="136">
        <v>0</v>
      </c>
      <c r="T60" s="136">
        <v>0</v>
      </c>
      <c r="U60" s="136">
        <v>0</v>
      </c>
      <c r="V60" s="136">
        <v>0</v>
      </c>
      <c r="W60" s="136">
        <v>53.666666666666757</v>
      </c>
      <c r="X60" s="136">
        <v>0</v>
      </c>
      <c r="Y60" s="136">
        <v>43.448275862068968</v>
      </c>
      <c r="Z60" s="136">
        <v>0</v>
      </c>
      <c r="AA60" s="136">
        <v>0</v>
      </c>
      <c r="AB60" s="136">
        <v>0</v>
      </c>
      <c r="AC60" s="226">
        <f t="shared" ref="AC60:AC96" si="68">E60*$AC$3</f>
        <v>786974.17726959358</v>
      </c>
      <c r="AD60" s="226">
        <f t="shared" si="41"/>
        <v>0</v>
      </c>
      <c r="AE60" s="226">
        <f t="shared" si="42"/>
        <v>0</v>
      </c>
      <c r="AF60" s="226">
        <f t="shared" si="43"/>
        <v>18884.790000000012</v>
      </c>
      <c r="AG60" s="226">
        <f t="shared" si="44"/>
        <v>0</v>
      </c>
      <c r="AH60" s="118">
        <f t="shared" si="45"/>
        <v>2525.9999999999936</v>
      </c>
      <c r="AI60" s="118">
        <f t="shared" si="46"/>
        <v>13892.999999999987</v>
      </c>
      <c r="AJ60" s="118">
        <f t="shared" si="47"/>
        <v>10735.500000000007</v>
      </c>
      <c r="AK60" s="118">
        <f t="shared" si="48"/>
        <v>2104.9999999999991</v>
      </c>
      <c r="AL60" s="118">
        <f t="shared" si="49"/>
        <v>0</v>
      </c>
      <c r="AM60" s="118">
        <f t="shared" si="50"/>
        <v>0</v>
      </c>
      <c r="AN60" s="118">
        <f t="shared" si="51"/>
        <v>0</v>
      </c>
      <c r="AO60" s="118">
        <f t="shared" si="52"/>
        <v>0</v>
      </c>
      <c r="AP60" s="118">
        <f t="shared" si="53"/>
        <v>0</v>
      </c>
      <c r="AQ60" s="118">
        <f t="shared" si="54"/>
        <v>0</v>
      </c>
      <c r="AR60" s="118">
        <f t="shared" si="55"/>
        <v>0</v>
      </c>
      <c r="AS60" s="118">
        <f t="shared" si="56"/>
        <v>0</v>
      </c>
      <c r="AT60" s="118">
        <f t="shared" si="57"/>
        <v>42487.900000000074</v>
      </c>
      <c r="AU60" s="118">
        <f t="shared" si="58"/>
        <v>0</v>
      </c>
      <c r="AV60" s="118">
        <f t="shared" si="59"/>
        <v>27459.744827586208</v>
      </c>
      <c r="AW60" s="118">
        <f t="shared" si="60"/>
        <v>0</v>
      </c>
      <c r="AX60" s="118">
        <f t="shared" si="61"/>
        <v>0</v>
      </c>
      <c r="AY60" s="118">
        <f t="shared" si="62"/>
        <v>0</v>
      </c>
      <c r="AZ60" s="118">
        <v>140000</v>
      </c>
      <c r="BA60" s="118">
        <v>2683</v>
      </c>
      <c r="BB60" s="118">
        <v>-1292</v>
      </c>
      <c r="BC60" s="118"/>
      <c r="BD60" s="118"/>
      <c r="BE60" s="118"/>
      <c r="BF60" s="276">
        <f t="shared" si="39"/>
        <v>786974.17726959358</v>
      </c>
      <c r="BG60" s="276">
        <f t="shared" si="32"/>
        <v>118091.93482758629</v>
      </c>
      <c r="BH60" s="276">
        <f t="shared" si="33"/>
        <v>141391</v>
      </c>
      <c r="BI60" s="276">
        <f t="shared" si="67"/>
        <v>27459.744827586208</v>
      </c>
      <c r="BJ60" s="276">
        <f t="shared" si="63"/>
        <v>1046457.1120971799</v>
      </c>
      <c r="BK60" s="276">
        <v>905066.11</v>
      </c>
      <c r="BL60" s="119">
        <v>4309.8386300000002</v>
      </c>
      <c r="BM60" s="119">
        <v>4130.6438900000003</v>
      </c>
      <c r="BN60" s="228">
        <v>4.3381794371378062E-2</v>
      </c>
      <c r="BO60" s="228">
        <v>0</v>
      </c>
      <c r="BP60" s="119">
        <v>0</v>
      </c>
      <c r="BQ60" s="281">
        <f t="shared" si="64"/>
        <v>1046457.1120971799</v>
      </c>
      <c r="BR60" s="119">
        <v>-459.9</v>
      </c>
      <c r="BS60" s="119">
        <v>-266.7</v>
      </c>
      <c r="BT60" s="120">
        <f t="shared" si="65"/>
        <v>1045730.5120971799</v>
      </c>
      <c r="BU60" s="229"/>
      <c r="BV60" s="366">
        <f>VLOOKUP(B60,EYSFF!$A$4:$Z$61,23,0)</f>
        <v>107687.40552775447</v>
      </c>
      <c r="BW60" s="105">
        <f>VLOOKUP(B60,EYSFF!$A$4:$AA$61,24,0)</f>
        <v>0</v>
      </c>
      <c r="BX60" s="303"/>
      <c r="BY60" s="303"/>
      <c r="BZ60" s="107">
        <v>39583.333333333336</v>
      </c>
      <c r="CA60" s="273"/>
      <c r="CB60" s="314">
        <f>$I60*1345</f>
        <v>22865.000000000015</v>
      </c>
      <c r="CC60" s="315">
        <v>1550</v>
      </c>
      <c r="CD60" s="315">
        <v>7035</v>
      </c>
      <c r="CE60" s="303"/>
      <c r="CF60" s="303"/>
      <c r="CG60" s="315">
        <v>7425</v>
      </c>
      <c r="CH60" s="322">
        <v>38237</v>
      </c>
      <c r="CI60" s="105"/>
      <c r="CJ60" s="303"/>
      <c r="CK60" s="305"/>
    </row>
    <row r="61" spans="1:90" ht="14.5" thickBot="1" x14ac:dyDescent="0.3">
      <c r="A61" s="48">
        <v>3123306</v>
      </c>
      <c r="B61" s="135">
        <v>3306</v>
      </c>
      <c r="C61" s="98" t="s">
        <v>179</v>
      </c>
      <c r="D61" s="136">
        <v>399</v>
      </c>
      <c r="E61" s="136">
        <v>399</v>
      </c>
      <c r="F61" s="136">
        <v>0</v>
      </c>
      <c r="G61" s="136">
        <v>0</v>
      </c>
      <c r="H61" s="136">
        <v>0</v>
      </c>
      <c r="I61" s="136">
        <v>70.47014925373135</v>
      </c>
      <c r="J61" s="136">
        <v>0</v>
      </c>
      <c r="K61" s="136">
        <v>85.999999999999801</v>
      </c>
      <c r="L61" s="136">
        <v>189.99999999999991</v>
      </c>
      <c r="M61" s="136">
        <v>49.999999999999972</v>
      </c>
      <c r="N61" s="136">
        <v>11.999999999999995</v>
      </c>
      <c r="O61" s="136">
        <v>0</v>
      </c>
      <c r="P61" s="136">
        <v>0</v>
      </c>
      <c r="Q61" s="136">
        <v>0</v>
      </c>
      <c r="R61" s="136">
        <v>0</v>
      </c>
      <c r="S61" s="136">
        <v>0</v>
      </c>
      <c r="T61" s="136">
        <v>0</v>
      </c>
      <c r="U61" s="136">
        <v>0</v>
      </c>
      <c r="V61" s="136">
        <v>0</v>
      </c>
      <c r="W61" s="136">
        <v>104.81194029850741</v>
      </c>
      <c r="X61" s="136">
        <v>0</v>
      </c>
      <c r="Y61" s="136">
        <v>95.302547770700642</v>
      </c>
      <c r="Z61" s="136">
        <v>0</v>
      </c>
      <c r="AA61" s="136">
        <v>4.0599999999999881</v>
      </c>
      <c r="AB61" s="136">
        <v>0</v>
      </c>
      <c r="AC61" s="226">
        <f t="shared" si="68"/>
        <v>1495250.9368122278</v>
      </c>
      <c r="AD61" s="226">
        <f t="shared" si="41"/>
        <v>0</v>
      </c>
      <c r="AE61" s="226">
        <f t="shared" si="42"/>
        <v>0</v>
      </c>
      <c r="AF61" s="226">
        <f t="shared" si="43"/>
        <v>78283.174701492535</v>
      </c>
      <c r="AG61" s="226">
        <f t="shared" si="44"/>
        <v>0</v>
      </c>
      <c r="AH61" s="118">
        <f t="shared" si="45"/>
        <v>9051.4999999999782</v>
      </c>
      <c r="AI61" s="118">
        <f t="shared" si="46"/>
        <v>39994.999999999985</v>
      </c>
      <c r="AJ61" s="118">
        <f t="shared" si="47"/>
        <v>15787.499999999991</v>
      </c>
      <c r="AK61" s="118">
        <f t="shared" si="48"/>
        <v>5051.9999999999982</v>
      </c>
      <c r="AL61" s="118">
        <f t="shared" si="49"/>
        <v>0</v>
      </c>
      <c r="AM61" s="118">
        <f t="shared" si="50"/>
        <v>0</v>
      </c>
      <c r="AN61" s="118">
        <f t="shared" si="51"/>
        <v>0</v>
      </c>
      <c r="AO61" s="118">
        <f t="shared" si="52"/>
        <v>0</v>
      </c>
      <c r="AP61" s="118">
        <f t="shared" si="53"/>
        <v>0</v>
      </c>
      <c r="AQ61" s="118">
        <f t="shared" si="54"/>
        <v>0</v>
      </c>
      <c r="AR61" s="118">
        <f t="shared" si="55"/>
        <v>0</v>
      </c>
      <c r="AS61" s="118">
        <f t="shared" si="56"/>
        <v>0</v>
      </c>
      <c r="AT61" s="118">
        <f t="shared" si="57"/>
        <v>82979.61313432832</v>
      </c>
      <c r="AU61" s="118">
        <f t="shared" si="58"/>
        <v>0</v>
      </c>
      <c r="AV61" s="118">
        <f t="shared" si="59"/>
        <v>60232.163216560512</v>
      </c>
      <c r="AW61" s="118">
        <f t="shared" si="60"/>
        <v>0</v>
      </c>
      <c r="AX61" s="118">
        <f t="shared" si="61"/>
        <v>4015.7459999999883</v>
      </c>
      <c r="AY61" s="118">
        <f t="shared" si="62"/>
        <v>0</v>
      </c>
      <c r="AZ61" s="118">
        <v>140000</v>
      </c>
      <c r="BA61" s="118">
        <v>5683</v>
      </c>
      <c r="BB61" s="118">
        <v>355</v>
      </c>
      <c r="BC61" s="118"/>
      <c r="BD61" s="118"/>
      <c r="BE61" s="118"/>
      <c r="BF61" s="276">
        <f t="shared" si="39"/>
        <v>1495250.9368122278</v>
      </c>
      <c r="BG61" s="276">
        <f t="shared" si="32"/>
        <v>295396.69705238129</v>
      </c>
      <c r="BH61" s="276">
        <f t="shared" si="33"/>
        <v>146038</v>
      </c>
      <c r="BI61" s="276">
        <f t="shared" si="67"/>
        <v>60232.163216560512</v>
      </c>
      <c r="BJ61" s="276">
        <f t="shared" si="63"/>
        <v>1936685.6338646091</v>
      </c>
      <c r="BK61" s="276">
        <v>1790647.63</v>
      </c>
      <c r="BL61" s="119">
        <v>4487.8386799999998</v>
      </c>
      <c r="BM61" s="119">
        <v>4369.73387</v>
      </c>
      <c r="BN61" s="228">
        <v>2.7027919232386458E-2</v>
      </c>
      <c r="BO61" s="228">
        <v>0</v>
      </c>
      <c r="BP61" s="119">
        <v>0</v>
      </c>
      <c r="BQ61" s="281">
        <f t="shared" si="64"/>
        <v>1936685.6338646091</v>
      </c>
      <c r="BR61" s="119">
        <v>0</v>
      </c>
      <c r="BS61" s="119">
        <v>0</v>
      </c>
      <c r="BT61" s="120">
        <f t="shared" si="65"/>
        <v>1936685.6338646091</v>
      </c>
      <c r="BU61" s="229"/>
      <c r="BV61" s="366">
        <f>VLOOKUP(B61,EYSFF!$A$4:$Z$61,23,0)</f>
        <v>147920.76777693199</v>
      </c>
      <c r="BW61" s="105">
        <f>VLOOKUP(B61,EYSFF!$A$4:$AA$61,24,0)</f>
        <v>0</v>
      </c>
      <c r="BX61" s="303"/>
      <c r="BY61" s="303"/>
      <c r="BZ61" s="107">
        <v>42200</v>
      </c>
      <c r="CB61" s="302"/>
      <c r="CC61" s="303"/>
      <c r="CD61" s="303"/>
      <c r="CE61" s="303"/>
      <c r="CF61" s="303"/>
      <c r="CG61" s="303"/>
      <c r="CH61" s="303"/>
      <c r="CI61" s="303"/>
      <c r="CJ61" s="303"/>
      <c r="CK61" s="305"/>
    </row>
    <row r="62" spans="1:90" ht="14.5" thickBot="1" x14ac:dyDescent="0.3">
      <c r="A62" s="48">
        <v>3123400</v>
      </c>
      <c r="B62" s="135">
        <v>3400</v>
      </c>
      <c r="C62" s="98" t="s">
        <v>181</v>
      </c>
      <c r="D62" s="136">
        <v>204</v>
      </c>
      <c r="E62" s="136">
        <v>204</v>
      </c>
      <c r="F62" s="136">
        <v>0</v>
      </c>
      <c r="G62" s="136">
        <v>0</v>
      </c>
      <c r="H62" s="136">
        <v>0</v>
      </c>
      <c r="I62" s="136">
        <v>7.0000000000000044</v>
      </c>
      <c r="J62" s="136">
        <v>0</v>
      </c>
      <c r="K62" s="136">
        <v>28.999999999999993</v>
      </c>
      <c r="L62" s="136">
        <v>4</v>
      </c>
      <c r="M62" s="136">
        <v>0</v>
      </c>
      <c r="N62" s="136">
        <v>0</v>
      </c>
      <c r="O62" s="136">
        <v>0</v>
      </c>
      <c r="P62" s="136">
        <v>0</v>
      </c>
      <c r="Q62" s="136">
        <v>0</v>
      </c>
      <c r="R62" s="136">
        <v>0</v>
      </c>
      <c r="S62" s="136">
        <v>0</v>
      </c>
      <c r="T62" s="136">
        <v>0</v>
      </c>
      <c r="U62" s="136">
        <v>0</v>
      </c>
      <c r="V62" s="136">
        <v>0</v>
      </c>
      <c r="W62" s="136">
        <v>27.97714285714283</v>
      </c>
      <c r="X62" s="136">
        <v>0</v>
      </c>
      <c r="Y62" s="136">
        <v>36.767441860465112</v>
      </c>
      <c r="Z62" s="136">
        <v>0</v>
      </c>
      <c r="AA62" s="136">
        <v>0</v>
      </c>
      <c r="AB62" s="136">
        <v>0</v>
      </c>
      <c r="AC62" s="226">
        <f t="shared" si="68"/>
        <v>764489.20077617664</v>
      </c>
      <c r="AD62" s="226">
        <f t="shared" si="41"/>
        <v>0</v>
      </c>
      <c r="AE62" s="226">
        <f t="shared" si="42"/>
        <v>0</v>
      </c>
      <c r="AF62" s="226">
        <f t="shared" si="43"/>
        <v>7776.0900000000038</v>
      </c>
      <c r="AG62" s="226">
        <f t="shared" si="44"/>
        <v>0</v>
      </c>
      <c r="AH62" s="118">
        <f t="shared" si="45"/>
        <v>3052.2499999999991</v>
      </c>
      <c r="AI62" s="118">
        <f t="shared" si="46"/>
        <v>842</v>
      </c>
      <c r="AJ62" s="118">
        <f t="shared" si="47"/>
        <v>0</v>
      </c>
      <c r="AK62" s="118">
        <f t="shared" si="48"/>
        <v>0</v>
      </c>
      <c r="AL62" s="118">
        <f t="shared" si="49"/>
        <v>0</v>
      </c>
      <c r="AM62" s="118">
        <f t="shared" si="50"/>
        <v>0</v>
      </c>
      <c r="AN62" s="118">
        <f t="shared" si="51"/>
        <v>0</v>
      </c>
      <c r="AO62" s="118">
        <f t="shared" si="52"/>
        <v>0</v>
      </c>
      <c r="AP62" s="118">
        <f t="shared" si="53"/>
        <v>0</v>
      </c>
      <c r="AQ62" s="118">
        <f t="shared" si="54"/>
        <v>0</v>
      </c>
      <c r="AR62" s="118">
        <f t="shared" si="55"/>
        <v>0</v>
      </c>
      <c r="AS62" s="118">
        <f t="shared" si="56"/>
        <v>0</v>
      </c>
      <c r="AT62" s="118">
        <f t="shared" si="57"/>
        <v>22149.503999999979</v>
      </c>
      <c r="AU62" s="118">
        <f t="shared" si="58"/>
        <v>0</v>
      </c>
      <c r="AV62" s="118">
        <f t="shared" si="59"/>
        <v>23237.390930232556</v>
      </c>
      <c r="AW62" s="118">
        <f t="shared" si="60"/>
        <v>0</v>
      </c>
      <c r="AX62" s="118">
        <f t="shared" si="61"/>
        <v>0</v>
      </c>
      <c r="AY62" s="118">
        <f t="shared" si="62"/>
        <v>0</v>
      </c>
      <c r="AZ62" s="118">
        <v>140000</v>
      </c>
      <c r="BA62" s="118">
        <v>3606</v>
      </c>
      <c r="BB62" s="118">
        <v>222</v>
      </c>
      <c r="BC62" s="118"/>
      <c r="BD62" s="118"/>
      <c r="BE62" s="118"/>
      <c r="BF62" s="276">
        <f t="shared" si="39"/>
        <v>764489.20077617664</v>
      </c>
      <c r="BG62" s="276">
        <f t="shared" si="32"/>
        <v>57057.234930232538</v>
      </c>
      <c r="BH62" s="276">
        <f t="shared" si="33"/>
        <v>143828</v>
      </c>
      <c r="BI62" s="276">
        <f t="shared" si="67"/>
        <v>23237.390930232556</v>
      </c>
      <c r="BJ62" s="276">
        <f t="shared" si="63"/>
        <v>965374.43570640916</v>
      </c>
      <c r="BK62" s="276">
        <v>821546.44</v>
      </c>
      <c r="BL62" s="119">
        <v>4027.1884100000002</v>
      </c>
      <c r="BM62" s="119">
        <v>3944.86004</v>
      </c>
      <c r="BN62" s="228">
        <v>2.0869783079413493E-2</v>
      </c>
      <c r="BO62" s="228">
        <v>0</v>
      </c>
      <c r="BP62" s="119">
        <v>0</v>
      </c>
      <c r="BQ62" s="281">
        <f t="shared" si="64"/>
        <v>965374.43570640916</v>
      </c>
      <c r="BR62" s="119">
        <v>-446.76</v>
      </c>
      <c r="BS62" s="119">
        <v>-259.08</v>
      </c>
      <c r="BT62" s="120">
        <f t="shared" si="65"/>
        <v>964668.59570640919</v>
      </c>
      <c r="BU62" s="229"/>
      <c r="BV62" s="366">
        <f>VLOOKUP(B62,EYSFF!$A$4:$Z$61,23,0)</f>
        <v>55515.0580723932</v>
      </c>
      <c r="BW62" s="105">
        <f>VLOOKUP(B62,EYSFF!$A$4:$AA$61,24,0)</f>
        <v>40498.950674015214</v>
      </c>
      <c r="BX62" s="303"/>
      <c r="BY62" s="303"/>
      <c r="BZ62" s="107">
        <v>26100</v>
      </c>
      <c r="CA62" s="273"/>
      <c r="CB62" s="314">
        <f>$I62*1345</f>
        <v>9415.0000000000055</v>
      </c>
      <c r="CC62" s="315">
        <v>310</v>
      </c>
      <c r="CD62" s="315">
        <v>0</v>
      </c>
      <c r="CE62" s="303"/>
      <c r="CF62" s="303"/>
      <c r="CG62" s="315">
        <v>7387</v>
      </c>
      <c r="CH62" s="322">
        <v>29122</v>
      </c>
      <c r="CI62" s="105"/>
      <c r="CJ62" s="303"/>
      <c r="CK62" s="305"/>
    </row>
    <row r="63" spans="1:90" ht="14.5" thickBot="1" x14ac:dyDescent="0.3">
      <c r="A63" s="48">
        <v>3123403</v>
      </c>
      <c r="B63" s="135">
        <v>3403</v>
      </c>
      <c r="C63" s="98" t="s">
        <v>182</v>
      </c>
      <c r="D63" s="136">
        <v>202</v>
      </c>
      <c r="E63" s="136">
        <v>202</v>
      </c>
      <c r="F63" s="136">
        <v>0</v>
      </c>
      <c r="G63" s="136">
        <v>0</v>
      </c>
      <c r="H63" s="136">
        <v>0</v>
      </c>
      <c r="I63" s="136">
        <v>35.99999999999995</v>
      </c>
      <c r="J63" s="136">
        <v>0</v>
      </c>
      <c r="K63" s="136">
        <v>29.144278606965148</v>
      </c>
      <c r="L63" s="136">
        <v>67.333333333333258</v>
      </c>
      <c r="M63" s="136">
        <v>21.1044776119404</v>
      </c>
      <c r="N63" s="136">
        <v>38.18905472636812</v>
      </c>
      <c r="O63" s="136">
        <v>0</v>
      </c>
      <c r="P63" s="136">
        <v>0</v>
      </c>
      <c r="Q63" s="136">
        <v>0</v>
      </c>
      <c r="R63" s="136">
        <v>0</v>
      </c>
      <c r="S63" s="136">
        <v>0</v>
      </c>
      <c r="T63" s="136">
        <v>0</v>
      </c>
      <c r="U63" s="136">
        <v>0</v>
      </c>
      <c r="V63" s="136">
        <v>0</v>
      </c>
      <c r="W63" s="136">
        <v>47.810650887573892</v>
      </c>
      <c r="X63" s="136">
        <v>0</v>
      </c>
      <c r="Y63" s="136">
        <v>77.788819875776412</v>
      </c>
      <c r="Z63" s="136">
        <v>0</v>
      </c>
      <c r="AA63" s="136">
        <v>0</v>
      </c>
      <c r="AB63" s="136">
        <v>0</v>
      </c>
      <c r="AC63" s="226">
        <f t="shared" si="68"/>
        <v>756994.20861170429</v>
      </c>
      <c r="AD63" s="226">
        <f t="shared" si="41"/>
        <v>0</v>
      </c>
      <c r="AE63" s="226">
        <f t="shared" si="42"/>
        <v>0</v>
      </c>
      <c r="AF63" s="226">
        <f t="shared" si="43"/>
        <v>39991.319999999942</v>
      </c>
      <c r="AG63" s="226">
        <f t="shared" si="44"/>
        <v>0</v>
      </c>
      <c r="AH63" s="118">
        <f t="shared" si="45"/>
        <v>3067.435323383082</v>
      </c>
      <c r="AI63" s="118">
        <f t="shared" si="46"/>
        <v>14173.666666666652</v>
      </c>
      <c r="AJ63" s="118">
        <f t="shared" si="47"/>
        <v>6663.7388059701816</v>
      </c>
      <c r="AK63" s="118">
        <f t="shared" si="48"/>
        <v>16077.592039800978</v>
      </c>
      <c r="AL63" s="118">
        <f t="shared" si="49"/>
        <v>0</v>
      </c>
      <c r="AM63" s="118">
        <f t="shared" si="50"/>
        <v>0</v>
      </c>
      <c r="AN63" s="118">
        <f t="shared" si="51"/>
        <v>0</v>
      </c>
      <c r="AO63" s="118">
        <f t="shared" si="52"/>
        <v>0</v>
      </c>
      <c r="AP63" s="118">
        <f t="shared" si="53"/>
        <v>0</v>
      </c>
      <c r="AQ63" s="118">
        <f t="shared" si="54"/>
        <v>0</v>
      </c>
      <c r="AR63" s="118">
        <f t="shared" si="55"/>
        <v>0</v>
      </c>
      <c r="AS63" s="118">
        <f t="shared" si="56"/>
        <v>0</v>
      </c>
      <c r="AT63" s="118">
        <f t="shared" si="57"/>
        <v>37851.692307692254</v>
      </c>
      <c r="AU63" s="118">
        <f t="shared" si="58"/>
        <v>0</v>
      </c>
      <c r="AV63" s="118">
        <f t="shared" si="59"/>
        <v>49163.312049689448</v>
      </c>
      <c r="AW63" s="118">
        <f t="shared" si="60"/>
        <v>0</v>
      </c>
      <c r="AX63" s="118">
        <f t="shared" si="61"/>
        <v>0</v>
      </c>
      <c r="AY63" s="118">
        <f t="shared" si="62"/>
        <v>0</v>
      </c>
      <c r="AZ63" s="118">
        <v>140000</v>
      </c>
      <c r="BA63" s="118">
        <v>3552</v>
      </c>
      <c r="BB63" s="118">
        <v>216</v>
      </c>
      <c r="BC63" s="118"/>
      <c r="BD63" s="118"/>
      <c r="BE63" s="118"/>
      <c r="BF63" s="276">
        <f t="shared" si="39"/>
        <v>756994.20861170429</v>
      </c>
      <c r="BG63" s="276">
        <f t="shared" si="32"/>
        <v>166988.75719320253</v>
      </c>
      <c r="BH63" s="276">
        <f t="shared" si="33"/>
        <v>143768</v>
      </c>
      <c r="BI63" s="276">
        <f t="shared" si="67"/>
        <v>49163.312049689448</v>
      </c>
      <c r="BJ63" s="276">
        <f t="shared" si="63"/>
        <v>1067750.9658049068</v>
      </c>
      <c r="BK63" s="276">
        <v>923982.97</v>
      </c>
      <c r="BL63" s="119">
        <v>4574.1731</v>
      </c>
      <c r="BM63" s="119">
        <v>4396.9479600000004</v>
      </c>
      <c r="BN63" s="228">
        <v>4.0306398862450819E-2</v>
      </c>
      <c r="BO63" s="228">
        <v>0</v>
      </c>
      <c r="BP63" s="119">
        <v>0</v>
      </c>
      <c r="BQ63" s="281">
        <f t="shared" si="64"/>
        <v>1067750.9658049068</v>
      </c>
      <c r="BR63" s="119">
        <v>-442.38</v>
      </c>
      <c r="BS63" s="119">
        <v>-256.54000000000002</v>
      </c>
      <c r="BT63" s="120">
        <f t="shared" si="65"/>
        <v>1067052.0458049069</v>
      </c>
      <c r="BU63" s="229"/>
      <c r="BV63" s="366">
        <f>VLOOKUP(B63,EYSFF!$A$4:$Z$61,23,0)</f>
        <v>80403.738043878591</v>
      </c>
      <c r="BW63" s="105">
        <f>VLOOKUP(B63,EYSFF!$A$4:$AA$61,24,0)</f>
        <v>38185.052850270105</v>
      </c>
      <c r="BX63" s="303"/>
      <c r="BY63" s="303"/>
      <c r="BZ63" s="107">
        <v>34641.666666666664</v>
      </c>
      <c r="CA63" s="273"/>
      <c r="CB63" s="314">
        <f>$I63*1345</f>
        <v>48419.999999999935</v>
      </c>
      <c r="CC63" s="315">
        <v>310</v>
      </c>
      <c r="CD63" s="315">
        <v>0</v>
      </c>
      <c r="CE63" s="303"/>
      <c r="CF63" s="303"/>
      <c r="CG63" s="315">
        <v>7371</v>
      </c>
      <c r="CH63" s="322">
        <v>28455</v>
      </c>
      <c r="CI63" s="105"/>
      <c r="CJ63" s="303"/>
      <c r="CK63" s="305"/>
    </row>
    <row r="64" spans="1:90" ht="14.5" thickBot="1" x14ac:dyDescent="0.3">
      <c r="A64" s="48">
        <v>3122004</v>
      </c>
      <c r="B64" s="135">
        <v>2004</v>
      </c>
      <c r="C64" s="98" t="s">
        <v>184</v>
      </c>
      <c r="D64" s="136">
        <v>609</v>
      </c>
      <c r="E64" s="136">
        <v>609</v>
      </c>
      <c r="F64" s="136">
        <v>0</v>
      </c>
      <c r="G64" s="136">
        <v>0</v>
      </c>
      <c r="H64" s="136">
        <v>0</v>
      </c>
      <c r="I64" s="136">
        <v>19.000000000000021</v>
      </c>
      <c r="J64" s="136">
        <v>0</v>
      </c>
      <c r="K64" s="136">
        <v>17.000000000000018</v>
      </c>
      <c r="L64" s="136">
        <v>6.9999999999999885</v>
      </c>
      <c r="M64" s="136">
        <v>0</v>
      </c>
      <c r="N64" s="136">
        <v>0</v>
      </c>
      <c r="O64" s="136">
        <v>0</v>
      </c>
      <c r="P64" s="136">
        <v>0</v>
      </c>
      <c r="Q64" s="136">
        <v>0</v>
      </c>
      <c r="R64" s="136">
        <v>0</v>
      </c>
      <c r="S64" s="136">
        <v>0</v>
      </c>
      <c r="T64" s="136">
        <v>0</v>
      </c>
      <c r="U64" s="136">
        <v>0</v>
      </c>
      <c r="V64" s="136">
        <v>0</v>
      </c>
      <c r="W64" s="136">
        <v>97.205769230769462</v>
      </c>
      <c r="X64" s="136">
        <v>0</v>
      </c>
      <c r="Y64" s="136">
        <v>112.8227091633466</v>
      </c>
      <c r="Z64" s="136">
        <v>0</v>
      </c>
      <c r="AA64" s="136">
        <v>0</v>
      </c>
      <c r="AB64" s="136">
        <v>0</v>
      </c>
      <c r="AC64" s="226">
        <f t="shared" si="68"/>
        <v>2282225.1140818214</v>
      </c>
      <c r="AD64" s="226">
        <f t="shared" si="41"/>
        <v>0</v>
      </c>
      <c r="AE64" s="226">
        <f t="shared" si="42"/>
        <v>0</v>
      </c>
      <c r="AF64" s="226">
        <f t="shared" si="43"/>
        <v>21106.530000000021</v>
      </c>
      <c r="AG64" s="226">
        <f t="shared" si="44"/>
        <v>0</v>
      </c>
      <c r="AH64" s="118">
        <f t="shared" si="45"/>
        <v>1789.2500000000018</v>
      </c>
      <c r="AI64" s="118">
        <f t="shared" si="46"/>
        <v>1473.4999999999975</v>
      </c>
      <c r="AJ64" s="118">
        <f t="shared" si="47"/>
        <v>0</v>
      </c>
      <c r="AK64" s="118">
        <f t="shared" si="48"/>
        <v>0</v>
      </c>
      <c r="AL64" s="118">
        <f t="shared" si="49"/>
        <v>0</v>
      </c>
      <c r="AM64" s="118">
        <f t="shared" si="50"/>
        <v>0</v>
      </c>
      <c r="AN64" s="118">
        <f t="shared" si="51"/>
        <v>0</v>
      </c>
      <c r="AO64" s="118">
        <f t="shared" si="52"/>
        <v>0</v>
      </c>
      <c r="AP64" s="118">
        <f t="shared" si="53"/>
        <v>0</v>
      </c>
      <c r="AQ64" s="118">
        <f t="shared" si="54"/>
        <v>0</v>
      </c>
      <c r="AR64" s="118">
        <f t="shared" si="55"/>
        <v>0</v>
      </c>
      <c r="AS64" s="118">
        <f t="shared" si="56"/>
        <v>0</v>
      </c>
      <c r="AT64" s="118">
        <f t="shared" si="57"/>
        <v>76957.807500000185</v>
      </c>
      <c r="AU64" s="118">
        <f t="shared" si="58"/>
        <v>0</v>
      </c>
      <c r="AV64" s="118">
        <f t="shared" si="59"/>
        <v>71305.080418326688</v>
      </c>
      <c r="AW64" s="118">
        <f t="shared" si="60"/>
        <v>0</v>
      </c>
      <c r="AX64" s="118">
        <f t="shared" si="61"/>
        <v>0</v>
      </c>
      <c r="AY64" s="118">
        <f t="shared" si="62"/>
        <v>0</v>
      </c>
      <c r="AZ64" s="118">
        <v>140000</v>
      </c>
      <c r="BA64" s="118">
        <v>42826</v>
      </c>
      <c r="BB64" s="118">
        <v>2576</v>
      </c>
      <c r="BC64" s="118"/>
      <c r="BD64" s="118"/>
      <c r="BE64" s="118"/>
      <c r="BF64" s="276">
        <f t="shared" si="39"/>
        <v>2282225.1140818214</v>
      </c>
      <c r="BG64" s="276">
        <f t="shared" si="32"/>
        <v>172632.16791832689</v>
      </c>
      <c r="BH64" s="276">
        <f t="shared" si="33"/>
        <v>185402</v>
      </c>
      <c r="BI64" s="276">
        <f t="shared" si="67"/>
        <v>71305.080418326688</v>
      </c>
      <c r="BJ64" s="276">
        <f t="shared" si="63"/>
        <v>2640259.2820001482</v>
      </c>
      <c r="BK64" s="276">
        <v>2454857.2799999998</v>
      </c>
      <c r="BL64" s="119">
        <v>4030.96434</v>
      </c>
      <c r="BM64" s="119">
        <v>3891.80089</v>
      </c>
      <c r="BN64" s="228">
        <v>3.5758111380510486E-2</v>
      </c>
      <c r="BO64" s="228">
        <v>0</v>
      </c>
      <c r="BP64" s="119">
        <v>0</v>
      </c>
      <c r="BQ64" s="281">
        <f t="shared" si="64"/>
        <v>2640259.2820001482</v>
      </c>
      <c r="BR64" s="119">
        <v>-1333.71</v>
      </c>
      <c r="BS64" s="119">
        <v>-773.43000000000006</v>
      </c>
      <c r="BT64" s="120">
        <f t="shared" si="65"/>
        <v>2638152.1420001481</v>
      </c>
      <c r="BU64" s="131"/>
      <c r="BV64" s="366">
        <f>VLOOKUP(B64,EYSFF!$A$4:$Z$61,23,0)</f>
        <v>162239.6305576743</v>
      </c>
      <c r="BW64" s="105">
        <f>VLOOKUP(B64,EYSFF!$A$4:$AA$61,24,0)</f>
        <v>76660.147709005338</v>
      </c>
      <c r="BX64" s="303"/>
      <c r="BY64" s="303"/>
      <c r="BZ64" s="107">
        <v>59600</v>
      </c>
      <c r="CA64" s="273"/>
      <c r="CB64" s="314">
        <f>$I64*1345</f>
        <v>25555.000000000029</v>
      </c>
      <c r="CC64" s="315">
        <v>6200</v>
      </c>
      <c r="CD64" s="315">
        <v>7035</v>
      </c>
      <c r="CE64" s="303"/>
      <c r="CF64" s="303"/>
      <c r="CG64" s="315">
        <v>8846</v>
      </c>
      <c r="CH64" s="322">
        <v>92033</v>
      </c>
      <c r="CI64" s="105"/>
      <c r="CJ64" s="303"/>
      <c r="CK64" s="305"/>
      <c r="CL64" s="2"/>
    </row>
    <row r="65" spans="1:90" ht="14.5" thickBot="1" x14ac:dyDescent="0.3">
      <c r="A65" s="48">
        <v>3122065</v>
      </c>
      <c r="B65" s="135">
        <v>2065</v>
      </c>
      <c r="C65" s="370" t="s">
        <v>190</v>
      </c>
      <c r="D65" s="136">
        <v>298</v>
      </c>
      <c r="E65" s="136">
        <v>298</v>
      </c>
      <c r="F65" s="136">
        <v>0</v>
      </c>
      <c r="G65" s="136">
        <v>0</v>
      </c>
      <c r="H65" s="136">
        <v>0</v>
      </c>
      <c r="I65" s="136">
        <v>20.014925373134329</v>
      </c>
      <c r="J65" s="136">
        <v>0</v>
      </c>
      <c r="K65" s="136">
        <v>15.999999999999989</v>
      </c>
      <c r="L65" s="136">
        <v>0</v>
      </c>
      <c r="M65" s="136">
        <v>0</v>
      </c>
      <c r="N65" s="136">
        <v>0</v>
      </c>
      <c r="O65" s="136">
        <v>0</v>
      </c>
      <c r="P65" s="136">
        <v>0</v>
      </c>
      <c r="Q65" s="136">
        <v>0</v>
      </c>
      <c r="R65" s="136">
        <v>0</v>
      </c>
      <c r="S65" s="136">
        <v>0</v>
      </c>
      <c r="T65" s="136">
        <v>0</v>
      </c>
      <c r="U65" s="136">
        <v>0</v>
      </c>
      <c r="V65" s="136">
        <v>0</v>
      </c>
      <c r="W65" s="136">
        <v>21.19665271966527</v>
      </c>
      <c r="X65" s="136">
        <v>0</v>
      </c>
      <c r="Y65" s="136">
        <v>49.87982832618026</v>
      </c>
      <c r="Z65" s="136">
        <v>0</v>
      </c>
      <c r="AA65" s="136">
        <v>0</v>
      </c>
      <c r="AB65" s="136">
        <v>0</v>
      </c>
      <c r="AC65" s="226">
        <f t="shared" si="68"/>
        <v>1116753.8325063756</v>
      </c>
      <c r="AD65" s="226">
        <f t="shared" si="41"/>
        <v>0</v>
      </c>
      <c r="AE65" s="226">
        <f t="shared" si="42"/>
        <v>0</v>
      </c>
      <c r="AF65" s="226">
        <f t="shared" si="43"/>
        <v>22233.98014925373</v>
      </c>
      <c r="AG65" s="226">
        <f t="shared" si="44"/>
        <v>0</v>
      </c>
      <c r="AH65" s="118">
        <f t="shared" si="45"/>
        <v>1683.9999999999989</v>
      </c>
      <c r="AI65" s="118">
        <f t="shared" si="46"/>
        <v>0</v>
      </c>
      <c r="AJ65" s="118">
        <f t="shared" si="47"/>
        <v>0</v>
      </c>
      <c r="AK65" s="118">
        <f t="shared" si="48"/>
        <v>0</v>
      </c>
      <c r="AL65" s="118">
        <f t="shared" si="49"/>
        <v>0</v>
      </c>
      <c r="AM65" s="118">
        <f t="shared" si="50"/>
        <v>0</v>
      </c>
      <c r="AN65" s="118">
        <f t="shared" si="51"/>
        <v>0</v>
      </c>
      <c r="AO65" s="118">
        <f t="shared" si="52"/>
        <v>0</v>
      </c>
      <c r="AP65" s="118">
        <f t="shared" si="53"/>
        <v>0</v>
      </c>
      <c r="AQ65" s="118">
        <f t="shared" si="54"/>
        <v>0</v>
      </c>
      <c r="AR65" s="118">
        <f t="shared" si="55"/>
        <v>0</v>
      </c>
      <c r="AS65" s="118">
        <f t="shared" si="56"/>
        <v>0</v>
      </c>
      <c r="AT65" s="118">
        <f t="shared" si="57"/>
        <v>16781.389958158994</v>
      </c>
      <c r="AU65" s="118">
        <f t="shared" si="58"/>
        <v>0</v>
      </c>
      <c r="AV65" s="118">
        <f t="shared" si="59"/>
        <v>31524.550300429186</v>
      </c>
      <c r="AW65" s="118">
        <f t="shared" si="60"/>
        <v>0</v>
      </c>
      <c r="AX65" s="118">
        <f t="shared" si="61"/>
        <v>0</v>
      </c>
      <c r="AY65" s="118">
        <f t="shared" si="62"/>
        <v>0</v>
      </c>
      <c r="AZ65" s="118">
        <v>140000</v>
      </c>
      <c r="BA65" s="118">
        <v>39102</v>
      </c>
      <c r="BB65" s="118">
        <v>3822</v>
      </c>
      <c r="BC65" s="118"/>
      <c r="BD65" s="118"/>
      <c r="BE65" s="118"/>
      <c r="BF65" s="276">
        <f t="shared" si="39"/>
        <v>1116753.8325063756</v>
      </c>
      <c r="BG65" s="276">
        <f t="shared" si="32"/>
        <v>72223.920407841913</v>
      </c>
      <c r="BH65" s="276">
        <f t="shared" si="33"/>
        <v>182924</v>
      </c>
      <c r="BI65" s="276">
        <f t="shared" si="67"/>
        <v>31524.550300429186</v>
      </c>
      <c r="BJ65" s="276">
        <f t="shared" si="63"/>
        <v>1371901.7529142175</v>
      </c>
      <c r="BK65" s="276">
        <v>1188977.75</v>
      </c>
      <c r="BL65" s="119">
        <v>3989.8582299999998</v>
      </c>
      <c r="BM65" s="119">
        <v>3911.4107399999998</v>
      </c>
      <c r="BN65" s="228">
        <v>2.0056060590893432E-2</v>
      </c>
      <c r="BO65" s="228">
        <v>0</v>
      </c>
      <c r="BP65" s="119">
        <v>0</v>
      </c>
      <c r="BQ65" s="281">
        <f t="shared" si="64"/>
        <v>1371901.7529142175</v>
      </c>
      <c r="BR65" s="119">
        <v>-652.62</v>
      </c>
      <c r="BS65" s="119">
        <v>-378.46</v>
      </c>
      <c r="BT65" s="120">
        <f t="shared" si="65"/>
        <v>1370870.6729142175</v>
      </c>
      <c r="BU65" s="229"/>
      <c r="BV65" s="366">
        <f>VLOOKUP(B65,EYSFF!$A$4:$Z$61,23,0)</f>
        <v>112547.87827752804</v>
      </c>
      <c r="BW65" s="105">
        <f>VLOOKUP(B65,EYSFF!$A$4:$AA$61,24,0)</f>
        <v>0</v>
      </c>
      <c r="BX65" s="368">
        <v>74981</v>
      </c>
      <c r="BY65" s="303"/>
      <c r="BZ65" s="107">
        <v>72975</v>
      </c>
      <c r="CA65" s="273"/>
      <c r="CB65" s="314">
        <f>$I65*1345</f>
        <v>26920.074626865673</v>
      </c>
      <c r="CC65" s="315">
        <v>310</v>
      </c>
      <c r="CD65" s="315">
        <v>4690</v>
      </c>
      <c r="CE65" s="303"/>
      <c r="CF65" s="303"/>
      <c r="CG65" s="315">
        <v>7537</v>
      </c>
      <c r="CH65" s="322">
        <v>51351</v>
      </c>
      <c r="CI65" s="105"/>
      <c r="CJ65" s="303"/>
      <c r="CK65" s="305"/>
      <c r="CL65" s="2"/>
    </row>
    <row r="66" spans="1:90" ht="14.5" thickBot="1" x14ac:dyDescent="0.3">
      <c r="A66" s="48">
        <v>3122051</v>
      </c>
      <c r="B66" s="135">
        <v>2051</v>
      </c>
      <c r="C66" s="98" t="s">
        <v>191</v>
      </c>
      <c r="D66" s="136">
        <v>627</v>
      </c>
      <c r="E66" s="136">
        <v>627</v>
      </c>
      <c r="F66" s="136">
        <v>0</v>
      </c>
      <c r="G66" s="136">
        <v>0</v>
      </c>
      <c r="H66" s="136">
        <v>0</v>
      </c>
      <c r="I66" s="136">
        <v>129.39765100671141</v>
      </c>
      <c r="J66" s="136">
        <v>0</v>
      </c>
      <c r="K66" s="136">
        <v>273.30769230769238</v>
      </c>
      <c r="L66" s="136">
        <v>283.35576923076928</v>
      </c>
      <c r="M66" s="136">
        <v>6.028846153846156</v>
      </c>
      <c r="N66" s="136">
        <v>6.028846153846156</v>
      </c>
      <c r="O66" s="136">
        <v>0</v>
      </c>
      <c r="P66" s="136">
        <v>0</v>
      </c>
      <c r="Q66" s="136">
        <v>0</v>
      </c>
      <c r="R66" s="136">
        <v>0</v>
      </c>
      <c r="S66" s="136">
        <v>0</v>
      </c>
      <c r="T66" s="136">
        <v>0</v>
      </c>
      <c r="U66" s="136">
        <v>0</v>
      </c>
      <c r="V66" s="136">
        <v>0</v>
      </c>
      <c r="W66" s="136">
        <v>249.62803738317737</v>
      </c>
      <c r="X66" s="136">
        <v>0</v>
      </c>
      <c r="Y66" s="136">
        <v>203.60645161290321</v>
      </c>
      <c r="Z66" s="136">
        <v>0</v>
      </c>
      <c r="AA66" s="136">
        <v>9.3799999999999795</v>
      </c>
      <c r="AB66" s="136">
        <v>0</v>
      </c>
      <c r="AC66" s="226">
        <f t="shared" si="68"/>
        <v>2349680.0435620723</v>
      </c>
      <c r="AD66" s="226">
        <f t="shared" si="41"/>
        <v>0</v>
      </c>
      <c r="AE66" s="226">
        <f t="shared" si="42"/>
        <v>0</v>
      </c>
      <c r="AF66" s="226">
        <f t="shared" si="43"/>
        <v>143743.96857382549</v>
      </c>
      <c r="AG66" s="226">
        <f t="shared" si="44"/>
        <v>0</v>
      </c>
      <c r="AH66" s="118">
        <f t="shared" si="45"/>
        <v>28765.634615384624</v>
      </c>
      <c r="AI66" s="118">
        <f t="shared" si="46"/>
        <v>59646.389423076937</v>
      </c>
      <c r="AJ66" s="118">
        <f t="shared" si="47"/>
        <v>1903.6081730769238</v>
      </c>
      <c r="AK66" s="118">
        <f t="shared" si="48"/>
        <v>2538.1442307692319</v>
      </c>
      <c r="AL66" s="118">
        <f t="shared" si="49"/>
        <v>0</v>
      </c>
      <c r="AM66" s="118">
        <f t="shared" si="50"/>
        <v>0</v>
      </c>
      <c r="AN66" s="118">
        <f t="shared" si="51"/>
        <v>0</v>
      </c>
      <c r="AO66" s="118">
        <f t="shared" si="52"/>
        <v>0</v>
      </c>
      <c r="AP66" s="118">
        <f t="shared" si="53"/>
        <v>0</v>
      </c>
      <c r="AQ66" s="118">
        <f t="shared" si="54"/>
        <v>0</v>
      </c>
      <c r="AR66" s="118">
        <f t="shared" si="55"/>
        <v>0</v>
      </c>
      <c r="AS66" s="118">
        <f t="shared" si="56"/>
        <v>0</v>
      </c>
      <c r="AT66" s="118">
        <f t="shared" si="57"/>
        <v>197630.51719626153</v>
      </c>
      <c r="AU66" s="118">
        <f t="shared" si="58"/>
        <v>0</v>
      </c>
      <c r="AV66" s="118">
        <f t="shared" si="59"/>
        <v>128681.31348387095</v>
      </c>
      <c r="AW66" s="118">
        <f t="shared" si="60"/>
        <v>0</v>
      </c>
      <c r="AX66" s="118">
        <f t="shared" si="61"/>
        <v>9277.7579999999798</v>
      </c>
      <c r="AY66" s="118">
        <f t="shared" si="62"/>
        <v>0</v>
      </c>
      <c r="AZ66" s="118">
        <v>140000</v>
      </c>
      <c r="BA66" s="118">
        <v>12342</v>
      </c>
      <c r="BB66" s="118">
        <v>742</v>
      </c>
      <c r="BC66" s="118"/>
      <c r="BD66" s="118"/>
      <c r="BE66" s="118"/>
      <c r="BF66" s="276">
        <f t="shared" si="39"/>
        <v>2349680.0435620723</v>
      </c>
      <c r="BG66" s="276">
        <f t="shared" si="32"/>
        <v>572187.3336962657</v>
      </c>
      <c r="BH66" s="276">
        <f t="shared" si="33"/>
        <v>153084</v>
      </c>
      <c r="BI66" s="276">
        <f t="shared" si="67"/>
        <v>128681.31348387095</v>
      </c>
      <c r="BJ66" s="276">
        <f t="shared" si="63"/>
        <v>3074951.377258338</v>
      </c>
      <c r="BK66" s="276">
        <v>2921867.38</v>
      </c>
      <c r="BL66" s="119">
        <v>4660.0755600000002</v>
      </c>
      <c r="BM66" s="119">
        <v>4601.6567999999997</v>
      </c>
      <c r="BN66" s="228">
        <v>1.2695157778716461E-2</v>
      </c>
      <c r="BO66" s="228">
        <v>0</v>
      </c>
      <c r="BP66" s="119">
        <v>0</v>
      </c>
      <c r="BQ66" s="281">
        <f t="shared" si="64"/>
        <v>3074951.377258338</v>
      </c>
      <c r="BR66" s="119">
        <v>0</v>
      </c>
      <c r="BS66" s="119">
        <v>0</v>
      </c>
      <c r="BT66" s="120">
        <f t="shared" si="65"/>
        <v>3074951.377258338</v>
      </c>
      <c r="BU66" s="229"/>
      <c r="BV66" s="366">
        <f>VLOOKUP(B66,EYSFF!$A$4:$Z$61,23,0)</f>
        <v>201811.55993019984</v>
      </c>
      <c r="BW66" s="105">
        <f>VLOOKUP(B66,EYSFF!$A$4:$AA$61,24,0)</f>
        <v>0</v>
      </c>
      <c r="BX66" s="303"/>
      <c r="BY66" s="99">
        <v>48943</v>
      </c>
      <c r="BZ66" s="107">
        <v>106050.00000000001</v>
      </c>
      <c r="CB66" s="302"/>
      <c r="CC66" s="303"/>
      <c r="CD66" s="303"/>
      <c r="CE66" s="303"/>
      <c r="CF66" s="303"/>
      <c r="CG66" s="303"/>
      <c r="CH66" s="303"/>
      <c r="CI66" s="303"/>
      <c r="CJ66" s="303"/>
      <c r="CK66" s="305"/>
      <c r="CL66" s="2"/>
    </row>
    <row r="67" spans="1:90" ht="14.5" thickBot="1" x14ac:dyDescent="0.3">
      <c r="A67" s="48">
        <v>3122069</v>
      </c>
      <c r="B67" s="135">
        <v>2069</v>
      </c>
      <c r="C67" s="98" t="s">
        <v>192</v>
      </c>
      <c r="D67" s="136">
        <v>294</v>
      </c>
      <c r="E67" s="136">
        <v>294</v>
      </c>
      <c r="F67" s="136">
        <v>0</v>
      </c>
      <c r="G67" s="136">
        <v>0</v>
      </c>
      <c r="H67" s="136">
        <v>0</v>
      </c>
      <c r="I67" s="136">
        <v>65.999999999999901</v>
      </c>
      <c r="J67" s="136">
        <v>0</v>
      </c>
      <c r="K67" s="136">
        <v>17.000000000000007</v>
      </c>
      <c r="L67" s="136">
        <v>135.00000000000006</v>
      </c>
      <c r="M67" s="136">
        <v>27.000000000000014</v>
      </c>
      <c r="N67" s="136">
        <v>5.9999999999999938</v>
      </c>
      <c r="O67" s="136">
        <v>0</v>
      </c>
      <c r="P67" s="136">
        <v>0</v>
      </c>
      <c r="Q67" s="136">
        <v>0</v>
      </c>
      <c r="R67" s="136">
        <v>0</v>
      </c>
      <c r="S67" s="136">
        <v>0</v>
      </c>
      <c r="T67" s="136">
        <v>0</v>
      </c>
      <c r="U67" s="136">
        <v>0</v>
      </c>
      <c r="V67" s="136">
        <v>0</v>
      </c>
      <c r="W67" s="136">
        <v>188.686567164179</v>
      </c>
      <c r="X67" s="136">
        <v>0</v>
      </c>
      <c r="Y67" s="136">
        <v>71.707317073170728</v>
      </c>
      <c r="Z67" s="136">
        <v>0</v>
      </c>
      <c r="AA67" s="136">
        <v>0</v>
      </c>
      <c r="AB67" s="136">
        <v>0</v>
      </c>
      <c r="AC67" s="226">
        <f t="shared" si="68"/>
        <v>1101763.8481774309</v>
      </c>
      <c r="AD67" s="226">
        <f t="shared" si="41"/>
        <v>0</v>
      </c>
      <c r="AE67" s="226">
        <f t="shared" si="42"/>
        <v>0</v>
      </c>
      <c r="AF67" s="226">
        <f t="shared" si="43"/>
        <v>73317.419999999882</v>
      </c>
      <c r="AG67" s="226">
        <f t="shared" si="44"/>
        <v>0</v>
      </c>
      <c r="AH67" s="118">
        <f t="shared" si="45"/>
        <v>1789.2500000000007</v>
      </c>
      <c r="AI67" s="118">
        <f t="shared" si="46"/>
        <v>28417.500000000011</v>
      </c>
      <c r="AJ67" s="118">
        <f t="shared" si="47"/>
        <v>8525.2500000000036</v>
      </c>
      <c r="AK67" s="118">
        <f t="shared" si="48"/>
        <v>2525.9999999999973</v>
      </c>
      <c r="AL67" s="118">
        <f t="shared" si="49"/>
        <v>0</v>
      </c>
      <c r="AM67" s="118">
        <f t="shared" si="50"/>
        <v>0</v>
      </c>
      <c r="AN67" s="118">
        <f t="shared" si="51"/>
        <v>0</v>
      </c>
      <c r="AO67" s="118">
        <f t="shared" si="52"/>
        <v>0</v>
      </c>
      <c r="AP67" s="118">
        <f t="shared" si="53"/>
        <v>0</v>
      </c>
      <c r="AQ67" s="118">
        <f t="shared" si="54"/>
        <v>0</v>
      </c>
      <c r="AR67" s="118">
        <f t="shared" si="55"/>
        <v>0</v>
      </c>
      <c r="AS67" s="118">
        <f t="shared" si="56"/>
        <v>0</v>
      </c>
      <c r="AT67" s="118">
        <f t="shared" si="57"/>
        <v>149383.15522388052</v>
      </c>
      <c r="AU67" s="118">
        <f t="shared" si="58"/>
        <v>0</v>
      </c>
      <c r="AV67" s="118">
        <f t="shared" si="59"/>
        <v>45319.741463414633</v>
      </c>
      <c r="AW67" s="118">
        <f t="shared" si="60"/>
        <v>0</v>
      </c>
      <c r="AX67" s="118">
        <f t="shared" si="61"/>
        <v>0</v>
      </c>
      <c r="AY67" s="118">
        <f t="shared" si="62"/>
        <v>0</v>
      </c>
      <c r="AZ67" s="118">
        <v>140000</v>
      </c>
      <c r="BA67" s="118">
        <v>43890</v>
      </c>
      <c r="BB67" s="118">
        <v>2640</v>
      </c>
      <c r="BC67" s="118"/>
      <c r="BD67" s="118"/>
      <c r="BE67" s="118"/>
      <c r="BF67" s="276">
        <f t="shared" si="39"/>
        <v>1101763.8481774309</v>
      </c>
      <c r="BG67" s="276">
        <f t="shared" si="32"/>
        <v>309278.31668729504</v>
      </c>
      <c r="BH67" s="276">
        <f t="shared" si="33"/>
        <v>186530</v>
      </c>
      <c r="BI67" s="276">
        <f t="shared" si="67"/>
        <v>45319.741463414633</v>
      </c>
      <c r="BJ67" s="276">
        <f t="shared" si="63"/>
        <v>1597572.1648647259</v>
      </c>
      <c r="BK67" s="276">
        <v>1411042.16</v>
      </c>
      <c r="BL67" s="119">
        <v>4799.4631499999996</v>
      </c>
      <c r="BM67" s="119">
        <v>4580.8590899999999</v>
      </c>
      <c r="BN67" s="228">
        <v>4.772119220813005E-2</v>
      </c>
      <c r="BO67" s="228">
        <v>0</v>
      </c>
      <c r="BP67" s="119">
        <v>0</v>
      </c>
      <c r="BQ67" s="281">
        <f t="shared" si="64"/>
        <v>1597572.1648647259</v>
      </c>
      <c r="BR67" s="119">
        <v>-643.86</v>
      </c>
      <c r="BS67" s="119">
        <v>-373.38</v>
      </c>
      <c r="BT67" s="120">
        <f t="shared" si="65"/>
        <v>1596554.9248647259</v>
      </c>
      <c r="BU67" s="229"/>
      <c r="BV67" s="366">
        <f>VLOOKUP(B67,EYSFF!$A$4:$Z$61,23,0)</f>
        <v>156078.92863208253</v>
      </c>
      <c r="BW67" s="105">
        <f>VLOOKUP(B67,EYSFF!$A$4:$AA$61,24,0)</f>
        <v>0</v>
      </c>
      <c r="BX67" s="303"/>
      <c r="BY67" s="303"/>
      <c r="BZ67" s="107">
        <v>62350</v>
      </c>
      <c r="CA67" s="273"/>
      <c r="CB67" s="314">
        <f>$I67*1345</f>
        <v>88769.999999999869</v>
      </c>
      <c r="CC67" s="315">
        <v>620</v>
      </c>
      <c r="CD67" s="315">
        <v>4690</v>
      </c>
      <c r="CE67" s="303"/>
      <c r="CF67" s="303"/>
      <c r="CG67" s="315">
        <v>7483</v>
      </c>
      <c r="CH67" s="322">
        <v>81565</v>
      </c>
      <c r="CI67" s="105"/>
      <c r="CJ67" s="303"/>
      <c r="CK67" s="305"/>
      <c r="CL67" s="2"/>
    </row>
    <row r="68" spans="1:90" ht="14.5" thickBot="1" x14ac:dyDescent="0.3">
      <c r="A68" s="48">
        <v>3122052</v>
      </c>
      <c r="B68" s="135">
        <v>2052</v>
      </c>
      <c r="C68" s="98" t="s">
        <v>193</v>
      </c>
      <c r="D68" s="136">
        <v>382</v>
      </c>
      <c r="E68" s="136">
        <v>382</v>
      </c>
      <c r="F68" s="136">
        <v>0</v>
      </c>
      <c r="G68" s="136">
        <v>0</v>
      </c>
      <c r="H68" s="136">
        <v>0</v>
      </c>
      <c r="I68" s="136">
        <v>123.00000000000018</v>
      </c>
      <c r="J68" s="136">
        <v>0</v>
      </c>
      <c r="K68" s="136">
        <v>25.000000000000011</v>
      </c>
      <c r="L68" s="136">
        <v>174.99999999999989</v>
      </c>
      <c r="M68" s="136">
        <v>35.000000000000014</v>
      </c>
      <c r="N68" s="136">
        <v>10.999999999999996</v>
      </c>
      <c r="O68" s="136">
        <v>1.0000000000000004</v>
      </c>
      <c r="P68" s="136">
        <v>0</v>
      </c>
      <c r="Q68" s="136">
        <v>0</v>
      </c>
      <c r="R68" s="136">
        <v>0</v>
      </c>
      <c r="S68" s="136">
        <v>0</v>
      </c>
      <c r="T68" s="136">
        <v>0</v>
      </c>
      <c r="U68" s="136">
        <v>0</v>
      </c>
      <c r="V68" s="136">
        <v>0</v>
      </c>
      <c r="W68" s="136">
        <v>90.000000000000114</v>
      </c>
      <c r="X68" s="136">
        <v>0</v>
      </c>
      <c r="Y68" s="136">
        <v>140.73684210526315</v>
      </c>
      <c r="Z68" s="136">
        <v>0</v>
      </c>
      <c r="AA68" s="136">
        <v>0</v>
      </c>
      <c r="AB68" s="136">
        <v>0</v>
      </c>
      <c r="AC68" s="226">
        <f t="shared" si="68"/>
        <v>1431543.5034142132</v>
      </c>
      <c r="AD68" s="226">
        <f t="shared" si="41"/>
        <v>0</v>
      </c>
      <c r="AE68" s="226">
        <f t="shared" si="42"/>
        <v>0</v>
      </c>
      <c r="AF68" s="226">
        <f t="shared" si="43"/>
        <v>136637.01000000018</v>
      </c>
      <c r="AG68" s="226">
        <f t="shared" si="44"/>
        <v>0</v>
      </c>
      <c r="AH68" s="118">
        <f t="shared" si="45"/>
        <v>2631.2500000000009</v>
      </c>
      <c r="AI68" s="118">
        <f t="shared" si="46"/>
        <v>36837.499999999978</v>
      </c>
      <c r="AJ68" s="118">
        <f t="shared" si="47"/>
        <v>11051.250000000004</v>
      </c>
      <c r="AK68" s="118">
        <f t="shared" si="48"/>
        <v>4630.9999999999982</v>
      </c>
      <c r="AL68" s="118">
        <f t="shared" si="49"/>
        <v>526.25000000000023</v>
      </c>
      <c r="AM68" s="118">
        <f t="shared" si="50"/>
        <v>0</v>
      </c>
      <c r="AN68" s="118">
        <f t="shared" si="51"/>
        <v>0</v>
      </c>
      <c r="AO68" s="118">
        <f t="shared" si="52"/>
        <v>0</v>
      </c>
      <c r="AP68" s="118">
        <f t="shared" si="53"/>
        <v>0</v>
      </c>
      <c r="AQ68" s="118">
        <f t="shared" si="54"/>
        <v>0</v>
      </c>
      <c r="AR68" s="118">
        <f t="shared" si="55"/>
        <v>0</v>
      </c>
      <c r="AS68" s="118">
        <f t="shared" si="56"/>
        <v>0</v>
      </c>
      <c r="AT68" s="118">
        <f t="shared" si="57"/>
        <v>71253.000000000087</v>
      </c>
      <c r="AU68" s="118">
        <f t="shared" si="58"/>
        <v>0</v>
      </c>
      <c r="AV68" s="118">
        <f t="shared" si="59"/>
        <v>88947.091578947366</v>
      </c>
      <c r="AW68" s="118">
        <f t="shared" si="60"/>
        <v>0</v>
      </c>
      <c r="AX68" s="118">
        <f t="shared" si="61"/>
        <v>0</v>
      </c>
      <c r="AY68" s="118">
        <f t="shared" si="62"/>
        <v>0</v>
      </c>
      <c r="AZ68" s="118">
        <v>140000</v>
      </c>
      <c r="BA68" s="118">
        <v>43890</v>
      </c>
      <c r="BB68" s="118">
        <v>2640</v>
      </c>
      <c r="BC68" s="118"/>
      <c r="BD68" s="118"/>
      <c r="BE68" s="118"/>
      <c r="BF68" s="276">
        <f t="shared" si="39"/>
        <v>1431543.5034142132</v>
      </c>
      <c r="BG68" s="276">
        <f t="shared" si="32"/>
        <v>352514.35157894762</v>
      </c>
      <c r="BH68" s="276">
        <f t="shared" si="33"/>
        <v>186530</v>
      </c>
      <c r="BI68" s="276">
        <f t="shared" si="67"/>
        <v>88947.091578947366</v>
      </c>
      <c r="BJ68" s="276">
        <f t="shared" si="63"/>
        <v>1970587.8549931608</v>
      </c>
      <c r="BK68" s="276">
        <v>1784057.85</v>
      </c>
      <c r="BL68" s="119">
        <v>4670.3085199999996</v>
      </c>
      <c r="BM68" s="119">
        <v>4517.2996000000003</v>
      </c>
      <c r="BN68" s="228">
        <v>3.3871767480362643E-2</v>
      </c>
      <c r="BO68" s="228">
        <v>0</v>
      </c>
      <c r="BP68" s="119">
        <v>0</v>
      </c>
      <c r="BQ68" s="281">
        <f t="shared" si="64"/>
        <v>1970587.8549931608</v>
      </c>
      <c r="BR68" s="119">
        <v>-836.57999999999993</v>
      </c>
      <c r="BS68" s="119">
        <v>-485.14</v>
      </c>
      <c r="BT68" s="120">
        <f t="shared" si="65"/>
        <v>1969266.1349931608</v>
      </c>
      <c r="BU68" s="229"/>
      <c r="BV68" s="302"/>
      <c r="BW68" s="303"/>
      <c r="BX68" s="303"/>
      <c r="BY68" s="303"/>
      <c r="BZ68" s="107">
        <v>47141.666666666664</v>
      </c>
      <c r="CA68" s="273"/>
      <c r="CB68" s="314">
        <f>$I68*1345</f>
        <v>165435.00000000026</v>
      </c>
      <c r="CC68" s="315">
        <v>1860</v>
      </c>
      <c r="CD68" s="315">
        <v>0</v>
      </c>
      <c r="CE68" s="303"/>
      <c r="CF68" s="303"/>
      <c r="CG68" s="315">
        <v>8308</v>
      </c>
      <c r="CH68" s="303"/>
      <c r="CI68" s="105"/>
      <c r="CJ68" s="303"/>
      <c r="CK68" s="305"/>
      <c r="CL68" s="2"/>
    </row>
    <row r="69" spans="1:90" ht="14.5" thickBot="1" x14ac:dyDescent="0.3">
      <c r="A69" s="48">
        <v>3122074</v>
      </c>
      <c r="B69" s="135">
        <v>2074</v>
      </c>
      <c r="C69" s="98" t="s">
        <v>194</v>
      </c>
      <c r="D69" s="136">
        <v>260</v>
      </c>
      <c r="E69" s="136">
        <v>260</v>
      </c>
      <c r="F69" s="136">
        <v>0</v>
      </c>
      <c r="G69" s="136">
        <v>0</v>
      </c>
      <c r="H69" s="136">
        <v>0</v>
      </c>
      <c r="I69" s="136">
        <v>13</v>
      </c>
      <c r="J69" s="136">
        <v>0</v>
      </c>
      <c r="K69" s="136">
        <v>61.000000000000099</v>
      </c>
      <c r="L69" s="136">
        <v>2.9999999999999898</v>
      </c>
      <c r="M69" s="136">
        <v>0</v>
      </c>
      <c r="N69" s="136">
        <v>0</v>
      </c>
      <c r="O69" s="136">
        <v>0</v>
      </c>
      <c r="P69" s="136">
        <v>0</v>
      </c>
      <c r="Q69" s="136">
        <v>0</v>
      </c>
      <c r="R69" s="136">
        <v>0</v>
      </c>
      <c r="S69" s="136">
        <v>0</v>
      </c>
      <c r="T69" s="136">
        <v>0</v>
      </c>
      <c r="U69" s="136">
        <v>0</v>
      </c>
      <c r="V69" s="136">
        <v>0</v>
      </c>
      <c r="W69" s="136">
        <v>34.86033519553078</v>
      </c>
      <c r="X69" s="136">
        <v>0</v>
      </c>
      <c r="Y69" s="136">
        <v>50.227272727272727</v>
      </c>
      <c r="Z69" s="136">
        <v>0</v>
      </c>
      <c r="AA69" s="136">
        <v>0</v>
      </c>
      <c r="AB69" s="136">
        <v>0</v>
      </c>
      <c r="AC69" s="226">
        <f t="shared" si="68"/>
        <v>974348.98138140154</v>
      </c>
      <c r="AD69" s="226">
        <f t="shared" si="41"/>
        <v>0</v>
      </c>
      <c r="AE69" s="226">
        <f t="shared" si="42"/>
        <v>0</v>
      </c>
      <c r="AF69" s="226">
        <f t="shared" si="43"/>
        <v>14441.309999999998</v>
      </c>
      <c r="AG69" s="226">
        <f t="shared" si="44"/>
        <v>0</v>
      </c>
      <c r="AH69" s="118">
        <f t="shared" si="45"/>
        <v>6420.2500000000109</v>
      </c>
      <c r="AI69" s="118">
        <f t="shared" si="46"/>
        <v>631.49999999999784</v>
      </c>
      <c r="AJ69" s="118">
        <f t="shared" si="47"/>
        <v>0</v>
      </c>
      <c r="AK69" s="118">
        <f t="shared" si="48"/>
        <v>0</v>
      </c>
      <c r="AL69" s="118">
        <f t="shared" si="49"/>
        <v>0</v>
      </c>
      <c r="AM69" s="118">
        <f t="shared" si="50"/>
        <v>0</v>
      </c>
      <c r="AN69" s="118">
        <f t="shared" si="51"/>
        <v>0</v>
      </c>
      <c r="AO69" s="118">
        <f t="shared" si="52"/>
        <v>0</v>
      </c>
      <c r="AP69" s="118">
        <f t="shared" si="53"/>
        <v>0</v>
      </c>
      <c r="AQ69" s="118">
        <f t="shared" si="54"/>
        <v>0</v>
      </c>
      <c r="AR69" s="118">
        <f t="shared" si="55"/>
        <v>0</v>
      </c>
      <c r="AS69" s="118">
        <f t="shared" si="56"/>
        <v>0</v>
      </c>
      <c r="AT69" s="118">
        <f t="shared" si="57"/>
        <v>27598.927374301718</v>
      </c>
      <c r="AU69" s="118">
        <f t="shared" si="58"/>
        <v>0</v>
      </c>
      <c r="AV69" s="118">
        <f t="shared" si="59"/>
        <v>31744.138636363634</v>
      </c>
      <c r="AW69" s="118">
        <f t="shared" si="60"/>
        <v>0</v>
      </c>
      <c r="AX69" s="118">
        <f t="shared" si="61"/>
        <v>0</v>
      </c>
      <c r="AY69" s="118">
        <f t="shared" si="62"/>
        <v>0</v>
      </c>
      <c r="AZ69" s="118">
        <v>140000</v>
      </c>
      <c r="BA69" s="118">
        <v>31388</v>
      </c>
      <c r="BB69" s="118">
        <v>1888</v>
      </c>
      <c r="BC69" s="118"/>
      <c r="BD69" s="118"/>
      <c r="BE69" s="118"/>
      <c r="BF69" s="276">
        <f t="shared" si="39"/>
        <v>974348.98138140154</v>
      </c>
      <c r="BG69" s="276">
        <f t="shared" ref="BG69:BG89" si="69">SUM(AF69:AY69)</f>
        <v>80836.12601066535</v>
      </c>
      <c r="BH69" s="276">
        <f t="shared" si="33"/>
        <v>173276</v>
      </c>
      <c r="BI69" s="276">
        <f t="shared" si="67"/>
        <v>31744.138636363634</v>
      </c>
      <c r="BJ69" s="276">
        <f t="shared" si="63"/>
        <v>1228461.1073920669</v>
      </c>
      <c r="BK69" s="276">
        <v>1055185.1100000001</v>
      </c>
      <c r="BL69" s="119">
        <v>4058.4042599999998</v>
      </c>
      <c r="BM69" s="119">
        <v>3911.7069499999998</v>
      </c>
      <c r="BN69" s="228">
        <v>3.750212213214859E-2</v>
      </c>
      <c r="BO69" s="228">
        <v>0</v>
      </c>
      <c r="BP69" s="119">
        <v>0</v>
      </c>
      <c r="BQ69" s="281">
        <f t="shared" si="64"/>
        <v>1228461.1073920669</v>
      </c>
      <c r="BR69" s="119">
        <v>-569.4</v>
      </c>
      <c r="BS69" s="119">
        <v>-330.2</v>
      </c>
      <c r="BT69" s="120">
        <f t="shared" si="65"/>
        <v>1227561.507392067</v>
      </c>
      <c r="BU69" s="229"/>
      <c r="BV69" s="366">
        <f>VLOOKUP(B69,EYSFF!$A$4:$Z$61,23,0)</f>
        <v>185376.0124860853</v>
      </c>
      <c r="BW69" s="105">
        <f>VLOOKUP(B69,EYSFF!$A$4:$AA$61,24,0)</f>
        <v>79955.268184058121</v>
      </c>
      <c r="BX69" s="303"/>
      <c r="BY69" s="303"/>
      <c r="BZ69" s="107">
        <v>32666.666666666668</v>
      </c>
      <c r="CA69" s="273"/>
      <c r="CB69" s="314">
        <f>$I69*1345</f>
        <v>17485</v>
      </c>
      <c r="CC69" s="315">
        <v>930</v>
      </c>
      <c r="CD69" s="315">
        <v>4690</v>
      </c>
      <c r="CE69" s="303"/>
      <c r="CF69" s="303"/>
      <c r="CG69" s="315">
        <v>7387</v>
      </c>
      <c r="CH69" s="322">
        <v>98035</v>
      </c>
      <c r="CI69" s="105"/>
      <c r="CJ69" s="303"/>
      <c r="CK69" s="305"/>
      <c r="CL69" s="2"/>
    </row>
    <row r="70" spans="1:90" ht="14.5" thickBot="1" x14ac:dyDescent="0.3">
      <c r="A70" s="48">
        <v>3122054</v>
      </c>
      <c r="B70" s="135">
        <v>2054</v>
      </c>
      <c r="C70" s="98" t="s">
        <v>195</v>
      </c>
      <c r="D70" s="136">
        <v>340</v>
      </c>
      <c r="E70" s="136">
        <v>340</v>
      </c>
      <c r="F70" s="136">
        <v>0</v>
      </c>
      <c r="G70" s="136">
        <v>0</v>
      </c>
      <c r="H70" s="136">
        <v>0</v>
      </c>
      <c r="I70" s="136">
        <v>29.858356940509914</v>
      </c>
      <c r="J70" s="136">
        <v>0</v>
      </c>
      <c r="K70" s="136">
        <v>63.999999999999979</v>
      </c>
      <c r="L70" s="136">
        <v>1.0000000000000016</v>
      </c>
      <c r="M70" s="136">
        <v>0</v>
      </c>
      <c r="N70" s="136">
        <v>0</v>
      </c>
      <c r="O70" s="136">
        <v>0</v>
      </c>
      <c r="P70" s="136">
        <v>0</v>
      </c>
      <c r="Q70" s="136">
        <v>0</v>
      </c>
      <c r="R70" s="136">
        <v>0</v>
      </c>
      <c r="S70" s="136">
        <v>0</v>
      </c>
      <c r="T70" s="136">
        <v>0</v>
      </c>
      <c r="U70" s="136">
        <v>0</v>
      </c>
      <c r="V70" s="136">
        <v>0</v>
      </c>
      <c r="W70" s="136">
        <v>16.047197640117993</v>
      </c>
      <c r="X70" s="136">
        <v>0</v>
      </c>
      <c r="Y70" s="136">
        <v>62.658610271903314</v>
      </c>
      <c r="Z70" s="136">
        <v>0</v>
      </c>
      <c r="AA70" s="136">
        <v>0</v>
      </c>
      <c r="AB70" s="136">
        <v>0</v>
      </c>
      <c r="AC70" s="226">
        <f t="shared" si="68"/>
        <v>1274148.6679602943</v>
      </c>
      <c r="AD70" s="226">
        <f t="shared" ref="AD70:AD96" si="70">G70*$AD$3</f>
        <v>0</v>
      </c>
      <c r="AE70" s="226">
        <f t="shared" ref="AE70:AE96" si="71">H70*$AE$3</f>
        <v>0</v>
      </c>
      <c r="AF70" s="226">
        <f t="shared" ref="AF70:AF96" si="72">I70*$AF$3</f>
        <v>33168.752974504248</v>
      </c>
      <c r="AG70" s="226">
        <f t="shared" ref="AG70:AG96" si="73">J70*$AG$3</f>
        <v>0</v>
      </c>
      <c r="AH70" s="118">
        <f t="shared" ref="AH70:AH96" si="74">K70*AH$3</f>
        <v>6735.9999999999982</v>
      </c>
      <c r="AI70" s="118">
        <f t="shared" ref="AI70:AI96" si="75">L70*AI$3</f>
        <v>210.50000000000034</v>
      </c>
      <c r="AJ70" s="118">
        <f t="shared" ref="AJ70:AJ96" si="76">M70*AJ$3</f>
        <v>0</v>
      </c>
      <c r="AK70" s="118">
        <f t="shared" ref="AK70:AK96" si="77">N70*AK$3</f>
        <v>0</v>
      </c>
      <c r="AL70" s="118">
        <f t="shared" ref="AL70:AL96" si="78">O70*AL$3</f>
        <v>0</v>
      </c>
      <c r="AM70" s="118">
        <f t="shared" ref="AM70:AM96" si="79">P70*AM$3</f>
        <v>0</v>
      </c>
      <c r="AN70" s="118">
        <f t="shared" ref="AN70:AN96" si="80">Q70*AN$3</f>
        <v>0</v>
      </c>
      <c r="AO70" s="118">
        <f t="shared" ref="AO70:AO96" si="81">R70*AO$3</f>
        <v>0</v>
      </c>
      <c r="AP70" s="118">
        <f t="shared" ref="AP70:AP96" si="82">S70*AP$3</f>
        <v>0</v>
      </c>
      <c r="AQ70" s="118">
        <f t="shared" ref="AQ70:AQ96" si="83">T70*AQ$3</f>
        <v>0</v>
      </c>
      <c r="AR70" s="118">
        <f t="shared" ref="AR70:AR96" si="84">U70*AR$3</f>
        <v>0</v>
      </c>
      <c r="AS70" s="118">
        <f t="shared" ref="AS70:AS96" si="85">V70*AS$3</f>
        <v>0</v>
      </c>
      <c r="AT70" s="118">
        <f t="shared" ref="AT70:AT96" si="86">W70*$AT$3</f>
        <v>12704.566371681416</v>
      </c>
      <c r="AU70" s="118">
        <f t="shared" ref="AU70:AU96" si="87">X70*$AU$3</f>
        <v>0</v>
      </c>
      <c r="AV70" s="118">
        <f t="shared" ref="AV70:AV96" si="88">Y70*$AV$3</f>
        <v>39600.868277945614</v>
      </c>
      <c r="AW70" s="118">
        <f t="shared" ref="AW70:AW96" si="89">Z70*$AW$3</f>
        <v>0</v>
      </c>
      <c r="AX70" s="118">
        <f t="shared" ref="AX70:AX96" si="90">AA70*$AX$3</f>
        <v>0</v>
      </c>
      <c r="AY70" s="118">
        <f t="shared" ref="AY70:AY96" si="91">AB70*$AY$3</f>
        <v>0</v>
      </c>
      <c r="AZ70" s="118">
        <v>140000</v>
      </c>
      <c r="BA70" s="118">
        <v>31388</v>
      </c>
      <c r="BB70" s="118">
        <v>1888</v>
      </c>
      <c r="BC70" s="118"/>
      <c r="BD70" s="118"/>
      <c r="BE70" s="118"/>
      <c r="BF70" s="276">
        <f t="shared" si="39"/>
        <v>1274148.6679602943</v>
      </c>
      <c r="BG70" s="276">
        <f t="shared" si="69"/>
        <v>92420.687624131271</v>
      </c>
      <c r="BH70" s="276">
        <f t="shared" ref="BH70:BH83" si="92">SUM(AZ70:BE70)</f>
        <v>173276</v>
      </c>
      <c r="BI70" s="276">
        <f t="shared" si="67"/>
        <v>39600.868277945614</v>
      </c>
      <c r="BJ70" s="276">
        <f t="shared" ref="BJ70:BJ96" si="93">BF70+BG70+BH70</f>
        <v>1539845.3555844256</v>
      </c>
      <c r="BK70" s="276">
        <v>1366569.36</v>
      </c>
      <c r="BL70" s="119">
        <v>4019.3216299999999</v>
      </c>
      <c r="BM70" s="119">
        <v>3909.8422999999998</v>
      </c>
      <c r="BN70" s="228">
        <v>2.8000959549577792E-2</v>
      </c>
      <c r="BO70" s="228">
        <v>0</v>
      </c>
      <c r="BP70" s="119">
        <v>0</v>
      </c>
      <c r="BQ70" s="281">
        <f t="shared" ref="BQ70:BQ96" si="94">BJ70+BP70</f>
        <v>1539845.3555844256</v>
      </c>
      <c r="BR70" s="119">
        <v>-744.6</v>
      </c>
      <c r="BS70" s="119">
        <v>-431.8</v>
      </c>
      <c r="BT70" s="120">
        <f t="shared" ref="BT70:BT96" si="95">SUM(BQ70:BS70)</f>
        <v>1538668.9555844255</v>
      </c>
      <c r="BU70" s="229"/>
      <c r="BV70" s="302"/>
      <c r="BW70" s="303"/>
      <c r="BX70" s="303"/>
      <c r="BY70" s="303"/>
      <c r="BZ70" s="107">
        <v>34866.666666666672</v>
      </c>
      <c r="CA70" s="273"/>
      <c r="CB70" s="314">
        <f>$I70*1345</f>
        <v>40159.490084985831</v>
      </c>
      <c r="CC70" s="315">
        <v>310</v>
      </c>
      <c r="CD70" s="315">
        <v>18760</v>
      </c>
      <c r="CE70" s="303"/>
      <c r="CF70" s="303"/>
      <c r="CG70" s="315">
        <v>8137</v>
      </c>
      <c r="CH70" s="303"/>
      <c r="CI70" s="105"/>
      <c r="CJ70" s="303"/>
      <c r="CK70" s="305"/>
      <c r="CL70" s="2"/>
    </row>
    <row r="71" spans="1:90" ht="14.5" thickBot="1" x14ac:dyDescent="0.3">
      <c r="A71" s="48">
        <v>3122049</v>
      </c>
      <c r="B71" s="135">
        <v>2049</v>
      </c>
      <c r="C71" s="98" t="s">
        <v>196</v>
      </c>
      <c r="D71" s="136">
        <v>527</v>
      </c>
      <c r="E71" s="136">
        <v>527</v>
      </c>
      <c r="F71" s="136">
        <v>0</v>
      </c>
      <c r="G71" s="136">
        <v>0</v>
      </c>
      <c r="H71" s="136">
        <v>0</v>
      </c>
      <c r="I71" s="136">
        <v>111.9999999999998</v>
      </c>
      <c r="J71" s="136">
        <v>0</v>
      </c>
      <c r="K71" s="136">
        <v>67.999999999999929</v>
      </c>
      <c r="L71" s="136">
        <v>168.99999999999989</v>
      </c>
      <c r="M71" s="136">
        <v>3.0000000000000009</v>
      </c>
      <c r="N71" s="136">
        <v>4.0000000000000009</v>
      </c>
      <c r="O71" s="136">
        <v>3.0000000000000009</v>
      </c>
      <c r="P71" s="136">
        <v>0</v>
      </c>
      <c r="Q71" s="136">
        <v>0</v>
      </c>
      <c r="R71" s="136">
        <v>0</v>
      </c>
      <c r="S71" s="136">
        <v>0</v>
      </c>
      <c r="T71" s="136">
        <v>0</v>
      </c>
      <c r="U71" s="136">
        <v>0</v>
      </c>
      <c r="V71" s="136">
        <v>0</v>
      </c>
      <c r="W71" s="136">
        <v>214.23695652173924</v>
      </c>
      <c r="X71" s="136">
        <v>0</v>
      </c>
      <c r="Y71" s="136">
        <v>190.53076923076927</v>
      </c>
      <c r="Z71" s="136">
        <v>0</v>
      </c>
      <c r="AA71" s="136">
        <v>5.3799999999999928</v>
      </c>
      <c r="AB71" s="136">
        <v>0</v>
      </c>
      <c r="AC71" s="226">
        <f t="shared" si="68"/>
        <v>1974930.4353384564</v>
      </c>
      <c r="AD71" s="226">
        <f t="shared" si="70"/>
        <v>0</v>
      </c>
      <c r="AE71" s="226">
        <f t="shared" si="71"/>
        <v>0</v>
      </c>
      <c r="AF71" s="226">
        <f t="shared" si="72"/>
        <v>124417.43999999977</v>
      </c>
      <c r="AG71" s="226">
        <f t="shared" si="73"/>
        <v>0</v>
      </c>
      <c r="AH71" s="118">
        <f t="shared" si="74"/>
        <v>7156.9999999999927</v>
      </c>
      <c r="AI71" s="118">
        <f t="shared" si="75"/>
        <v>35574.499999999978</v>
      </c>
      <c r="AJ71" s="118">
        <f t="shared" si="76"/>
        <v>947.25000000000023</v>
      </c>
      <c r="AK71" s="118">
        <f t="shared" si="77"/>
        <v>1684.0000000000005</v>
      </c>
      <c r="AL71" s="118">
        <f t="shared" si="78"/>
        <v>1578.7500000000005</v>
      </c>
      <c r="AM71" s="118">
        <f t="shared" si="79"/>
        <v>0</v>
      </c>
      <c r="AN71" s="118">
        <f t="shared" si="80"/>
        <v>0</v>
      </c>
      <c r="AO71" s="118">
        <f t="shared" si="81"/>
        <v>0</v>
      </c>
      <c r="AP71" s="118">
        <f t="shared" si="82"/>
        <v>0</v>
      </c>
      <c r="AQ71" s="118">
        <f t="shared" si="83"/>
        <v>0</v>
      </c>
      <c r="AR71" s="118">
        <f t="shared" si="84"/>
        <v>0</v>
      </c>
      <c r="AS71" s="118">
        <f t="shared" si="85"/>
        <v>0</v>
      </c>
      <c r="AT71" s="118">
        <f t="shared" si="86"/>
        <v>169611.39847826096</v>
      </c>
      <c r="AU71" s="118">
        <f t="shared" si="87"/>
        <v>0</v>
      </c>
      <c r="AV71" s="118">
        <f t="shared" si="88"/>
        <v>120417.35146153848</v>
      </c>
      <c r="AW71" s="118">
        <f t="shared" si="89"/>
        <v>0</v>
      </c>
      <c r="AX71" s="118">
        <f t="shared" si="90"/>
        <v>5321.3579999999929</v>
      </c>
      <c r="AY71" s="118">
        <f t="shared" si="91"/>
        <v>0</v>
      </c>
      <c r="AZ71" s="118">
        <v>140000</v>
      </c>
      <c r="BA71" s="118">
        <v>9936</v>
      </c>
      <c r="BB71" s="118">
        <v>432</v>
      </c>
      <c r="BC71" s="118"/>
      <c r="BD71" s="118"/>
      <c r="BE71" s="118"/>
      <c r="BF71" s="276">
        <f t="shared" si="39"/>
        <v>1974930.4353384564</v>
      </c>
      <c r="BG71" s="276">
        <f t="shared" si="69"/>
        <v>466709.04793979914</v>
      </c>
      <c r="BH71" s="276">
        <f t="shared" si="92"/>
        <v>150368</v>
      </c>
      <c r="BI71" s="276">
        <f t="shared" si="67"/>
        <v>120417.35146153848</v>
      </c>
      <c r="BJ71" s="276">
        <f t="shared" si="93"/>
        <v>2592007.4832782554</v>
      </c>
      <c r="BK71" s="276">
        <v>2441639.48</v>
      </c>
      <c r="BL71" s="119">
        <v>4633.0919999999996</v>
      </c>
      <c r="BM71" s="119">
        <v>4512.6138300000002</v>
      </c>
      <c r="BN71" s="228">
        <v>2.6698089342151808E-2</v>
      </c>
      <c r="BO71" s="228">
        <v>0</v>
      </c>
      <c r="BP71" s="119">
        <v>0</v>
      </c>
      <c r="BQ71" s="281">
        <f t="shared" si="94"/>
        <v>2592007.4832782554</v>
      </c>
      <c r="BR71" s="119">
        <v>0</v>
      </c>
      <c r="BS71" s="119">
        <v>0</v>
      </c>
      <c r="BT71" s="120">
        <f t="shared" si="95"/>
        <v>2592007.4832782554</v>
      </c>
      <c r="BU71" s="229"/>
      <c r="BV71" s="366">
        <f>VLOOKUP(B71,EYSFF!$A$4:$Z$61,23,0)</f>
        <v>184565.45307073617</v>
      </c>
      <c r="BW71" s="105">
        <f>VLOOKUP(B71,EYSFF!$A$4:$AA$61,24,0)</f>
        <v>25680.823094828971</v>
      </c>
      <c r="BX71" s="303"/>
      <c r="BY71" s="303"/>
      <c r="BZ71" s="107">
        <v>58166.666666666664</v>
      </c>
      <c r="CB71" s="302"/>
      <c r="CC71" s="303"/>
      <c r="CD71" s="303"/>
      <c r="CE71" s="303"/>
      <c r="CF71" s="303"/>
      <c r="CG71" s="303"/>
      <c r="CH71" s="303"/>
      <c r="CI71" s="303"/>
      <c r="CJ71" s="303"/>
      <c r="CK71" s="305"/>
      <c r="CL71" s="2"/>
    </row>
    <row r="72" spans="1:90" ht="14.5" thickBot="1" x14ac:dyDescent="0.3">
      <c r="A72" s="48">
        <v>3122082</v>
      </c>
      <c r="B72" s="135">
        <v>2082</v>
      </c>
      <c r="C72" s="98" t="s">
        <v>197</v>
      </c>
      <c r="D72" s="136">
        <v>888</v>
      </c>
      <c r="E72" s="136">
        <v>888</v>
      </c>
      <c r="F72" s="136">
        <v>0</v>
      </c>
      <c r="G72" s="136">
        <v>0</v>
      </c>
      <c r="H72" s="136">
        <v>0</v>
      </c>
      <c r="I72" s="136">
        <v>208.82847896440128</v>
      </c>
      <c r="J72" s="136">
        <v>0</v>
      </c>
      <c r="K72" s="136">
        <v>290.32694475760985</v>
      </c>
      <c r="L72" s="136">
        <v>351.39571589627951</v>
      </c>
      <c r="M72" s="136">
        <v>2.0022547914317932</v>
      </c>
      <c r="N72" s="136">
        <v>6.00676437429538</v>
      </c>
      <c r="O72" s="136">
        <v>0</v>
      </c>
      <c r="P72" s="136">
        <v>0</v>
      </c>
      <c r="Q72" s="136">
        <v>0</v>
      </c>
      <c r="R72" s="136">
        <v>0</v>
      </c>
      <c r="S72" s="136">
        <v>0</v>
      </c>
      <c r="T72" s="136">
        <v>0</v>
      </c>
      <c r="U72" s="136">
        <v>0</v>
      </c>
      <c r="V72" s="136">
        <v>0</v>
      </c>
      <c r="W72" s="136">
        <v>354.28571428571428</v>
      </c>
      <c r="X72" s="136">
        <v>0</v>
      </c>
      <c r="Y72" s="136">
        <v>208.57383966244723</v>
      </c>
      <c r="Z72" s="136">
        <v>0</v>
      </c>
      <c r="AA72" s="136">
        <v>15.719999999999999</v>
      </c>
      <c r="AB72" s="136">
        <v>0</v>
      </c>
      <c r="AC72" s="226">
        <f t="shared" si="68"/>
        <v>3327776.5210257103</v>
      </c>
      <c r="AD72" s="226">
        <f t="shared" si="70"/>
        <v>0</v>
      </c>
      <c r="AE72" s="226">
        <f t="shared" si="71"/>
        <v>0</v>
      </c>
      <c r="AF72" s="226">
        <f t="shared" si="72"/>
        <v>231981.29242718444</v>
      </c>
      <c r="AG72" s="226">
        <f t="shared" si="73"/>
        <v>0</v>
      </c>
      <c r="AH72" s="118">
        <f t="shared" si="74"/>
        <v>30556.910935738437</v>
      </c>
      <c r="AI72" s="118">
        <f t="shared" si="75"/>
        <v>73968.798196166841</v>
      </c>
      <c r="AJ72" s="118">
        <f t="shared" si="76"/>
        <v>632.21195039458871</v>
      </c>
      <c r="AK72" s="118">
        <f t="shared" si="77"/>
        <v>2528.8478015783548</v>
      </c>
      <c r="AL72" s="118">
        <f t="shared" si="78"/>
        <v>0</v>
      </c>
      <c r="AM72" s="118">
        <f t="shared" si="79"/>
        <v>0</v>
      </c>
      <c r="AN72" s="118">
        <f t="shared" si="80"/>
        <v>0</v>
      </c>
      <c r="AO72" s="118">
        <f t="shared" si="81"/>
        <v>0</v>
      </c>
      <c r="AP72" s="118">
        <f t="shared" si="82"/>
        <v>0</v>
      </c>
      <c r="AQ72" s="118">
        <f t="shared" si="83"/>
        <v>0</v>
      </c>
      <c r="AR72" s="118">
        <f t="shared" si="84"/>
        <v>0</v>
      </c>
      <c r="AS72" s="118">
        <f t="shared" si="85"/>
        <v>0</v>
      </c>
      <c r="AT72" s="118">
        <f t="shared" si="86"/>
        <v>280488</v>
      </c>
      <c r="AU72" s="118">
        <f t="shared" si="87"/>
        <v>0</v>
      </c>
      <c r="AV72" s="118">
        <f t="shared" si="88"/>
        <v>131820.75240506328</v>
      </c>
      <c r="AW72" s="118">
        <f t="shared" si="89"/>
        <v>0</v>
      </c>
      <c r="AX72" s="118">
        <f t="shared" si="90"/>
        <v>15548.652</v>
      </c>
      <c r="AY72" s="118">
        <f t="shared" si="91"/>
        <v>0</v>
      </c>
      <c r="AZ72" s="118">
        <v>140000</v>
      </c>
      <c r="BA72" s="118">
        <v>17237</v>
      </c>
      <c r="BB72" s="118">
        <v>1037</v>
      </c>
      <c r="BC72" s="118"/>
      <c r="BD72" s="118"/>
      <c r="BE72" s="118"/>
      <c r="BF72" s="276">
        <f t="shared" si="39"/>
        <v>3327776.5210257103</v>
      </c>
      <c r="BG72" s="276">
        <f t="shared" si="69"/>
        <v>767525.46571612591</v>
      </c>
      <c r="BH72" s="276">
        <f t="shared" si="92"/>
        <v>158274</v>
      </c>
      <c r="BI72" s="276">
        <f t="shared" si="67"/>
        <v>131820.75240506328</v>
      </c>
      <c r="BJ72" s="276">
        <f t="shared" si="93"/>
        <v>4253575.9867418362</v>
      </c>
      <c r="BK72" s="276">
        <v>4095301.99</v>
      </c>
      <c r="BL72" s="119">
        <v>4611.8265600000004</v>
      </c>
      <c r="BM72" s="119">
        <v>4554.3703800000003</v>
      </c>
      <c r="BN72" s="228">
        <v>1.2615615367637958E-2</v>
      </c>
      <c r="BO72" s="228">
        <v>0</v>
      </c>
      <c r="BP72" s="119">
        <v>0</v>
      </c>
      <c r="BQ72" s="281">
        <f t="shared" si="94"/>
        <v>4253575.9867418362</v>
      </c>
      <c r="BR72" s="119">
        <v>0</v>
      </c>
      <c r="BS72" s="119">
        <v>0</v>
      </c>
      <c r="BT72" s="120">
        <f t="shared" si="95"/>
        <v>4253575.9867418362</v>
      </c>
      <c r="BU72" s="229"/>
      <c r="BV72" s="366">
        <f>VLOOKUP(B72,EYSFF!$A$4:$Z$61,23,0)</f>
        <v>181534.36423117836</v>
      </c>
      <c r="BW72" s="105">
        <f>VLOOKUP(B72,EYSFF!$A$4:$AA$61,24,0)</f>
        <v>0</v>
      </c>
      <c r="BX72" s="303"/>
      <c r="BY72" s="303"/>
      <c r="BZ72" s="107">
        <v>131516.66666666669</v>
      </c>
      <c r="CB72" s="302"/>
      <c r="CC72" s="303"/>
      <c r="CD72" s="303"/>
      <c r="CE72" s="303"/>
      <c r="CF72" s="303"/>
      <c r="CG72" s="303"/>
      <c r="CH72" s="303"/>
      <c r="CI72" s="303"/>
      <c r="CJ72" s="303"/>
      <c r="CK72" s="305"/>
      <c r="CL72" s="2"/>
    </row>
    <row r="73" spans="1:90" ht="14.5" thickBot="1" x14ac:dyDescent="0.3">
      <c r="A73" s="48">
        <v>3122060</v>
      </c>
      <c r="B73" s="135">
        <v>2060</v>
      </c>
      <c r="C73" s="98" t="s">
        <v>198</v>
      </c>
      <c r="D73" s="136">
        <v>349</v>
      </c>
      <c r="E73" s="136">
        <v>349</v>
      </c>
      <c r="F73" s="136">
        <v>0</v>
      </c>
      <c r="G73" s="136">
        <v>0</v>
      </c>
      <c r="H73" s="136">
        <v>0</v>
      </c>
      <c r="I73" s="136">
        <v>95.999999999999886</v>
      </c>
      <c r="J73" s="136">
        <v>0</v>
      </c>
      <c r="K73" s="136">
        <v>96.999999999999886</v>
      </c>
      <c r="L73" s="136">
        <v>80.000000000000128</v>
      </c>
      <c r="M73" s="136">
        <v>4.9999999999999947</v>
      </c>
      <c r="N73" s="136">
        <v>0</v>
      </c>
      <c r="O73" s="136">
        <v>14.999999999999984</v>
      </c>
      <c r="P73" s="136">
        <v>0</v>
      </c>
      <c r="Q73" s="136">
        <v>0</v>
      </c>
      <c r="R73" s="136">
        <v>0</v>
      </c>
      <c r="S73" s="136">
        <v>0</v>
      </c>
      <c r="T73" s="136">
        <v>0</v>
      </c>
      <c r="U73" s="136">
        <v>0</v>
      </c>
      <c r="V73" s="136">
        <v>0</v>
      </c>
      <c r="W73" s="136">
        <v>319.04291845493549</v>
      </c>
      <c r="X73" s="136">
        <v>0</v>
      </c>
      <c r="Y73" s="136">
        <v>69.198275862068968</v>
      </c>
      <c r="Z73" s="136">
        <v>0</v>
      </c>
      <c r="AA73" s="136">
        <v>0</v>
      </c>
      <c r="AB73" s="136">
        <v>0</v>
      </c>
      <c r="AC73" s="226">
        <f t="shared" si="68"/>
        <v>1307876.1327004198</v>
      </c>
      <c r="AD73" s="226">
        <f t="shared" si="70"/>
        <v>0</v>
      </c>
      <c r="AE73" s="226">
        <f t="shared" si="71"/>
        <v>0</v>
      </c>
      <c r="AF73" s="226">
        <f t="shared" si="72"/>
        <v>106643.51999999986</v>
      </c>
      <c r="AG73" s="226">
        <f t="shared" si="73"/>
        <v>0</v>
      </c>
      <c r="AH73" s="118">
        <f t="shared" si="74"/>
        <v>10209.249999999987</v>
      </c>
      <c r="AI73" s="118">
        <f t="shared" si="75"/>
        <v>16840.000000000025</v>
      </c>
      <c r="AJ73" s="118">
        <f t="shared" si="76"/>
        <v>1578.7499999999984</v>
      </c>
      <c r="AK73" s="118">
        <f t="shared" si="77"/>
        <v>0</v>
      </c>
      <c r="AL73" s="118">
        <f t="shared" si="78"/>
        <v>7893.7499999999918</v>
      </c>
      <c r="AM73" s="118">
        <f t="shared" si="79"/>
        <v>0</v>
      </c>
      <c r="AN73" s="118">
        <f t="shared" si="80"/>
        <v>0</v>
      </c>
      <c r="AO73" s="118">
        <f t="shared" si="81"/>
        <v>0</v>
      </c>
      <c r="AP73" s="118">
        <f t="shared" si="82"/>
        <v>0</v>
      </c>
      <c r="AQ73" s="118">
        <f t="shared" si="83"/>
        <v>0</v>
      </c>
      <c r="AR73" s="118">
        <f t="shared" si="84"/>
        <v>0</v>
      </c>
      <c r="AS73" s="118">
        <f t="shared" si="85"/>
        <v>0</v>
      </c>
      <c r="AT73" s="118">
        <f t="shared" si="86"/>
        <v>252586.27854077244</v>
      </c>
      <c r="AU73" s="118">
        <f t="shared" si="87"/>
        <v>0</v>
      </c>
      <c r="AV73" s="118">
        <f t="shared" si="88"/>
        <v>43734.002327586211</v>
      </c>
      <c r="AW73" s="118">
        <f t="shared" si="89"/>
        <v>0</v>
      </c>
      <c r="AX73" s="118">
        <f t="shared" si="90"/>
        <v>0</v>
      </c>
      <c r="AY73" s="118">
        <f t="shared" si="91"/>
        <v>0</v>
      </c>
      <c r="AZ73" s="118">
        <v>140000</v>
      </c>
      <c r="BA73" s="118">
        <v>35037</v>
      </c>
      <c r="BB73" s="118">
        <v>2537</v>
      </c>
      <c r="BC73" s="118"/>
      <c r="BD73" s="118"/>
      <c r="BE73" s="118"/>
      <c r="BF73" s="276">
        <f t="shared" si="39"/>
        <v>1307876.1327004198</v>
      </c>
      <c r="BG73" s="276">
        <f t="shared" si="69"/>
        <v>439485.55086835852</v>
      </c>
      <c r="BH73" s="276">
        <f t="shared" si="92"/>
        <v>177574</v>
      </c>
      <c r="BI73" s="276">
        <f t="shared" si="67"/>
        <v>43734.002327586211</v>
      </c>
      <c r="BJ73" s="276">
        <f t="shared" si="93"/>
        <v>1924935.6835687782</v>
      </c>
      <c r="BK73" s="276">
        <v>1747361.68</v>
      </c>
      <c r="BL73" s="119">
        <v>5006.7669999999998</v>
      </c>
      <c r="BM73" s="119">
        <v>4816.0140799999999</v>
      </c>
      <c r="BN73" s="228">
        <v>3.9608049064764908E-2</v>
      </c>
      <c r="BO73" s="228">
        <v>0</v>
      </c>
      <c r="BP73" s="119">
        <v>0</v>
      </c>
      <c r="BQ73" s="281">
        <f t="shared" si="94"/>
        <v>1924935.6835687782</v>
      </c>
      <c r="BR73" s="119">
        <v>-764.31</v>
      </c>
      <c r="BS73" s="119">
        <v>-443.23</v>
      </c>
      <c r="BT73" s="120">
        <f t="shared" si="95"/>
        <v>1923728.1435687782</v>
      </c>
      <c r="BU73" s="229"/>
      <c r="BV73" s="366">
        <f>VLOOKUP(B73,EYSFF!$A$4:$Z$61,23,0)</f>
        <v>388187.34633135231</v>
      </c>
      <c r="BW73" s="105">
        <f>VLOOKUP(B73,EYSFF!$A$4:$AA$61,24,0)</f>
        <v>0</v>
      </c>
      <c r="BX73" s="303"/>
      <c r="BY73" s="303"/>
      <c r="BZ73" s="107">
        <v>49308.333333333336</v>
      </c>
      <c r="CA73" s="273"/>
      <c r="CB73" s="314">
        <f>$I73*1345</f>
        <v>129119.99999999984</v>
      </c>
      <c r="CC73" s="315">
        <v>0</v>
      </c>
      <c r="CD73" s="315">
        <v>0</v>
      </c>
      <c r="CE73" s="303"/>
      <c r="CF73" s="303"/>
      <c r="CG73" s="315">
        <v>7642</v>
      </c>
      <c r="CH73" s="322">
        <v>119153</v>
      </c>
      <c r="CI73" s="105"/>
      <c r="CJ73" s="303"/>
      <c r="CK73" s="305"/>
      <c r="CL73" s="2"/>
    </row>
    <row r="74" spans="1:90" ht="14.5" thickBot="1" x14ac:dyDescent="0.3">
      <c r="A74" s="48">
        <v>3122059</v>
      </c>
      <c r="B74" s="135">
        <v>2059</v>
      </c>
      <c r="C74" s="98" t="s">
        <v>199</v>
      </c>
      <c r="D74" s="136">
        <v>454</v>
      </c>
      <c r="E74" s="136">
        <v>454</v>
      </c>
      <c r="F74" s="136">
        <v>0</v>
      </c>
      <c r="G74" s="136">
        <v>0</v>
      </c>
      <c r="H74" s="136">
        <v>0</v>
      </c>
      <c r="I74" s="136">
        <v>138.04710920770879</v>
      </c>
      <c r="J74" s="136">
        <v>0</v>
      </c>
      <c r="K74" s="136">
        <v>124.54867256637182</v>
      </c>
      <c r="L74" s="136">
        <v>86.380530973451457</v>
      </c>
      <c r="M74" s="136">
        <v>4.0176991150442465</v>
      </c>
      <c r="N74" s="136">
        <v>1.0044247787610603</v>
      </c>
      <c r="O74" s="136">
        <v>38.168141592920357</v>
      </c>
      <c r="P74" s="136">
        <v>0</v>
      </c>
      <c r="Q74" s="136">
        <v>0</v>
      </c>
      <c r="R74" s="136">
        <v>0</v>
      </c>
      <c r="S74" s="136">
        <v>0</v>
      </c>
      <c r="T74" s="136">
        <v>0</v>
      </c>
      <c r="U74" s="136">
        <v>0</v>
      </c>
      <c r="V74" s="136">
        <v>0</v>
      </c>
      <c r="W74" s="136">
        <v>131.99999999999997</v>
      </c>
      <c r="X74" s="136">
        <v>0</v>
      </c>
      <c r="Y74" s="136">
        <v>127.90355329949237</v>
      </c>
      <c r="Z74" s="136">
        <v>0</v>
      </c>
      <c r="AA74" s="136">
        <v>0</v>
      </c>
      <c r="AB74" s="136">
        <v>0</v>
      </c>
      <c r="AC74" s="226">
        <f t="shared" si="68"/>
        <v>1701363.2213352167</v>
      </c>
      <c r="AD74" s="226">
        <f t="shared" si="70"/>
        <v>0</v>
      </c>
      <c r="AE74" s="226">
        <f t="shared" si="71"/>
        <v>0</v>
      </c>
      <c r="AF74" s="226">
        <f t="shared" si="72"/>
        <v>153352.39220556745</v>
      </c>
      <c r="AG74" s="226">
        <f t="shared" si="73"/>
        <v>0</v>
      </c>
      <c r="AH74" s="118">
        <f t="shared" si="74"/>
        <v>13108.747787610635</v>
      </c>
      <c r="AI74" s="118">
        <f t="shared" si="75"/>
        <v>18183.101769911533</v>
      </c>
      <c r="AJ74" s="118">
        <f t="shared" si="76"/>
        <v>1268.5884955752208</v>
      </c>
      <c r="AK74" s="118">
        <f t="shared" si="77"/>
        <v>422.86283185840637</v>
      </c>
      <c r="AL74" s="118">
        <f t="shared" si="78"/>
        <v>20085.984513274339</v>
      </c>
      <c r="AM74" s="118">
        <f t="shared" si="79"/>
        <v>0</v>
      </c>
      <c r="AN74" s="118">
        <f t="shared" si="80"/>
        <v>0</v>
      </c>
      <c r="AO74" s="118">
        <f t="shared" si="81"/>
        <v>0</v>
      </c>
      <c r="AP74" s="118">
        <f t="shared" si="82"/>
        <v>0</v>
      </c>
      <c r="AQ74" s="118">
        <f t="shared" si="83"/>
        <v>0</v>
      </c>
      <c r="AR74" s="118">
        <f t="shared" si="84"/>
        <v>0</v>
      </c>
      <c r="AS74" s="118">
        <f t="shared" si="85"/>
        <v>0</v>
      </c>
      <c r="AT74" s="118">
        <f t="shared" si="86"/>
        <v>104504.39999999998</v>
      </c>
      <c r="AU74" s="118">
        <f t="shared" si="87"/>
        <v>0</v>
      </c>
      <c r="AV74" s="118">
        <f t="shared" si="88"/>
        <v>80836.324720812176</v>
      </c>
      <c r="AW74" s="118">
        <f t="shared" si="89"/>
        <v>0</v>
      </c>
      <c r="AX74" s="118">
        <f t="shared" si="90"/>
        <v>0</v>
      </c>
      <c r="AY74" s="118">
        <f t="shared" si="91"/>
        <v>0</v>
      </c>
      <c r="AZ74" s="118">
        <v>140000</v>
      </c>
      <c r="BA74" s="118">
        <v>35037</v>
      </c>
      <c r="BB74" s="118">
        <v>2537</v>
      </c>
      <c r="BC74" s="118"/>
      <c r="BD74" s="118"/>
      <c r="BE74" s="118"/>
      <c r="BF74" s="276">
        <f t="shared" si="39"/>
        <v>1701363.2213352167</v>
      </c>
      <c r="BG74" s="276">
        <f t="shared" si="69"/>
        <v>391762.40232460969</v>
      </c>
      <c r="BH74" s="276">
        <f t="shared" si="92"/>
        <v>177574</v>
      </c>
      <c r="BI74" s="276">
        <f t="shared" si="67"/>
        <v>80836.324720812176</v>
      </c>
      <c r="BJ74" s="276">
        <f t="shared" si="93"/>
        <v>2270699.6236598263</v>
      </c>
      <c r="BK74" s="276">
        <v>2093125.62</v>
      </c>
      <c r="BL74" s="119">
        <v>4610.4088599999995</v>
      </c>
      <c r="BM74" s="119">
        <v>4512.89318</v>
      </c>
      <c r="BN74" s="228">
        <v>2.16082416631595E-2</v>
      </c>
      <c r="BO74" s="228">
        <v>0</v>
      </c>
      <c r="BP74" s="119">
        <v>0</v>
      </c>
      <c r="BQ74" s="281">
        <f t="shared" si="94"/>
        <v>2270699.6236598263</v>
      </c>
      <c r="BR74" s="119">
        <v>-994.26</v>
      </c>
      <c r="BS74" s="119">
        <v>-576.58000000000004</v>
      </c>
      <c r="BT74" s="120">
        <f t="shared" si="95"/>
        <v>2269128.7836598265</v>
      </c>
      <c r="BU74" s="229"/>
      <c r="BV74" s="302"/>
      <c r="BW74" s="303"/>
      <c r="BX74" s="303"/>
      <c r="BY74" s="303"/>
      <c r="BZ74" s="107">
        <v>55183.333333333336</v>
      </c>
      <c r="CA74" s="273"/>
      <c r="CB74" s="314">
        <f>$I74*1345</f>
        <v>185673.36188436832</v>
      </c>
      <c r="CC74" s="315">
        <v>0</v>
      </c>
      <c r="CD74" s="315">
        <v>0</v>
      </c>
      <c r="CE74" s="303"/>
      <c r="CF74" s="303"/>
      <c r="CG74" s="315">
        <v>8612</v>
      </c>
      <c r="CH74" s="303"/>
      <c r="CI74" s="105"/>
      <c r="CJ74" s="303"/>
      <c r="CK74" s="305"/>
      <c r="CL74" s="2"/>
    </row>
    <row r="75" spans="1:90" ht="14.5" thickBot="1" x14ac:dyDescent="0.3">
      <c r="A75" s="48">
        <v>3124654</v>
      </c>
      <c r="B75" s="135">
        <v>4654</v>
      </c>
      <c r="C75" s="98" t="s">
        <v>87</v>
      </c>
      <c r="D75" s="136">
        <v>1346</v>
      </c>
      <c r="E75" s="136">
        <v>449</v>
      </c>
      <c r="F75" s="136">
        <v>897</v>
      </c>
      <c r="G75" s="136">
        <v>537</v>
      </c>
      <c r="H75" s="136">
        <v>360</v>
      </c>
      <c r="I75" s="136">
        <v>28.43013100436681</v>
      </c>
      <c r="J75" s="136">
        <v>168.68362831858406</v>
      </c>
      <c r="K75" s="136">
        <v>133.00000000000014</v>
      </c>
      <c r="L75" s="136">
        <v>80.000000000000014</v>
      </c>
      <c r="M75" s="136">
        <v>10.000000000000002</v>
      </c>
      <c r="N75" s="136">
        <v>8.0000000000000018</v>
      </c>
      <c r="O75" s="136">
        <v>22</v>
      </c>
      <c r="P75" s="136">
        <v>0</v>
      </c>
      <c r="Q75" s="136">
        <v>236.9999999999996</v>
      </c>
      <c r="R75" s="136">
        <v>172.99999999999983</v>
      </c>
      <c r="S75" s="136">
        <v>16.000000000000021</v>
      </c>
      <c r="T75" s="136">
        <v>9.999999999999968</v>
      </c>
      <c r="U75" s="136">
        <v>16.000000000000021</v>
      </c>
      <c r="V75" s="136">
        <v>0</v>
      </c>
      <c r="W75" s="136">
        <v>150.4322250639384</v>
      </c>
      <c r="X75" s="136">
        <v>20.000000000000025</v>
      </c>
      <c r="Y75" s="136">
        <v>71.74742268041237</v>
      </c>
      <c r="Z75" s="136">
        <v>174.08827531013515</v>
      </c>
      <c r="AA75" s="136">
        <v>0</v>
      </c>
      <c r="AB75" s="136">
        <v>0</v>
      </c>
      <c r="AC75" s="226">
        <f t="shared" si="68"/>
        <v>1682625.7409240359</v>
      </c>
      <c r="AD75" s="226">
        <f t="shared" si="70"/>
        <v>2609403.8724537049</v>
      </c>
      <c r="AE75" s="226">
        <f t="shared" si="71"/>
        <v>1999222.7893411953</v>
      </c>
      <c r="AF75" s="226">
        <f t="shared" si="72"/>
        <v>31582.179628820955</v>
      </c>
      <c r="AG75" s="226">
        <f t="shared" si="73"/>
        <v>243601.08816371681</v>
      </c>
      <c r="AH75" s="118">
        <f t="shared" si="74"/>
        <v>13998.250000000015</v>
      </c>
      <c r="AI75" s="118">
        <f t="shared" si="75"/>
        <v>16840.000000000004</v>
      </c>
      <c r="AJ75" s="118">
        <f t="shared" si="76"/>
        <v>3157.5000000000005</v>
      </c>
      <c r="AK75" s="118">
        <f t="shared" si="77"/>
        <v>3368.0000000000009</v>
      </c>
      <c r="AL75" s="118">
        <f t="shared" si="78"/>
        <v>11577.5</v>
      </c>
      <c r="AM75" s="118">
        <f t="shared" si="79"/>
        <v>0</v>
      </c>
      <c r="AN75" s="118">
        <f t="shared" si="80"/>
        <v>32428.709999999948</v>
      </c>
      <c r="AO75" s="118">
        <f t="shared" si="81"/>
        <v>47341.449999999961</v>
      </c>
      <c r="AP75" s="118">
        <f t="shared" si="82"/>
        <v>6567.6800000000094</v>
      </c>
      <c r="AQ75" s="118">
        <f t="shared" si="83"/>
        <v>5472.9999999999818</v>
      </c>
      <c r="AR75" s="118">
        <f t="shared" si="84"/>
        <v>10945.920000000015</v>
      </c>
      <c r="AS75" s="118">
        <f t="shared" si="85"/>
        <v>0</v>
      </c>
      <c r="AT75" s="118">
        <f t="shared" si="86"/>
        <v>119097.19258312004</v>
      </c>
      <c r="AU75" s="118">
        <f t="shared" si="87"/>
        <v>23858.000000000033</v>
      </c>
      <c r="AV75" s="118">
        <f t="shared" si="88"/>
        <v>45345.088608247424</v>
      </c>
      <c r="AW75" s="118">
        <f t="shared" si="89"/>
        <v>307683.61778313288</v>
      </c>
      <c r="AX75" s="118">
        <f t="shared" si="90"/>
        <v>0</v>
      </c>
      <c r="AY75" s="118">
        <f t="shared" si="91"/>
        <v>0</v>
      </c>
      <c r="AZ75" s="118">
        <v>140000</v>
      </c>
      <c r="BA75" s="118">
        <v>85652</v>
      </c>
      <c r="BB75" s="118">
        <v>5152</v>
      </c>
      <c r="BC75" s="118"/>
      <c r="BD75" s="118"/>
      <c r="BE75" s="118"/>
      <c r="BF75" s="276">
        <f>AC75+AD75+AE75</f>
        <v>6291252.4027189361</v>
      </c>
      <c r="BG75" s="276">
        <f>SUM(AF75:AY75)</f>
        <v>922865.17676703818</v>
      </c>
      <c r="BH75" s="276">
        <f t="shared" si="92"/>
        <v>230804</v>
      </c>
      <c r="BI75" s="276">
        <f t="shared" si="67"/>
        <v>353028.70639138028</v>
      </c>
      <c r="BJ75" s="276">
        <f t="shared" si="93"/>
        <v>7444921.5794859743</v>
      </c>
      <c r="BK75" s="276">
        <v>7214117.5800000001</v>
      </c>
      <c r="BL75" s="119">
        <v>5359.6713099999997</v>
      </c>
      <c r="BM75" s="119">
        <v>5216.7013999999999</v>
      </c>
      <c r="BN75" s="228">
        <v>2.7406188829913195E-2</v>
      </c>
      <c r="BO75" s="228">
        <v>0</v>
      </c>
      <c r="BP75" s="119">
        <v>0</v>
      </c>
      <c r="BQ75" s="281">
        <f t="shared" si="94"/>
        <v>7444921.5794859743</v>
      </c>
      <c r="BR75" s="119">
        <v>0</v>
      </c>
      <c r="BS75" s="119">
        <v>0</v>
      </c>
      <c r="BT75" s="120">
        <f t="shared" si="95"/>
        <v>7444921.5794859743</v>
      </c>
      <c r="BU75" s="229"/>
      <c r="BV75" s="366">
        <f>VLOOKUP(B75,EYSFF!$A$4:$Z$61,23,0)</f>
        <v>178445.7883285635</v>
      </c>
      <c r="BW75" s="105">
        <f>VLOOKUP(B75,EYSFF!$A$4:$AA$61,24,0)</f>
        <v>0</v>
      </c>
      <c r="BX75" s="303"/>
      <c r="BY75" s="303"/>
      <c r="BZ75" s="107">
        <v>102100</v>
      </c>
      <c r="CB75" s="302"/>
      <c r="CC75" s="303"/>
      <c r="CD75" s="303"/>
      <c r="CE75" s="303"/>
      <c r="CF75" s="303"/>
      <c r="CG75" s="303"/>
      <c r="CH75" s="303"/>
      <c r="CI75" s="303"/>
      <c r="CJ75" s="303"/>
      <c r="CK75" s="305"/>
    </row>
    <row r="76" spans="1:90" ht="14.5" thickBot="1" x14ac:dyDescent="0.3">
      <c r="A76" s="48">
        <v>3125412</v>
      </c>
      <c r="B76" s="135">
        <v>5412</v>
      </c>
      <c r="C76" s="98" t="s">
        <v>37</v>
      </c>
      <c r="D76" s="136">
        <v>1217</v>
      </c>
      <c r="E76" s="136">
        <v>0</v>
      </c>
      <c r="F76" s="136">
        <v>1217</v>
      </c>
      <c r="G76" s="136">
        <v>750</v>
      </c>
      <c r="H76" s="136">
        <v>467</v>
      </c>
      <c r="I76" s="136">
        <v>0</v>
      </c>
      <c r="J76" s="136">
        <v>485.97281223449448</v>
      </c>
      <c r="K76" s="136">
        <v>0</v>
      </c>
      <c r="L76" s="136">
        <v>0</v>
      </c>
      <c r="M76" s="136">
        <v>0</v>
      </c>
      <c r="N76" s="136">
        <v>0</v>
      </c>
      <c r="O76" s="136">
        <v>0</v>
      </c>
      <c r="P76" s="136">
        <v>0</v>
      </c>
      <c r="Q76" s="136">
        <v>359</v>
      </c>
      <c r="R76" s="136">
        <v>393.00000000000011</v>
      </c>
      <c r="S76" s="136">
        <v>69.999999999999957</v>
      </c>
      <c r="T76" s="136">
        <v>4.0000000000000062</v>
      </c>
      <c r="U76" s="136">
        <v>48.999999999999972</v>
      </c>
      <c r="V76" s="136">
        <v>0</v>
      </c>
      <c r="W76" s="136">
        <v>0</v>
      </c>
      <c r="X76" s="136">
        <v>78.776763485477133</v>
      </c>
      <c r="Y76" s="136">
        <v>0</v>
      </c>
      <c r="Z76" s="136">
        <v>262.8837217405939</v>
      </c>
      <c r="AA76" s="136">
        <v>0</v>
      </c>
      <c r="AB76" s="136">
        <v>0</v>
      </c>
      <c r="AC76" s="226">
        <f t="shared" si="68"/>
        <v>0</v>
      </c>
      <c r="AD76" s="226">
        <f t="shared" si="70"/>
        <v>3644418.8162761242</v>
      </c>
      <c r="AE76" s="226">
        <f t="shared" si="71"/>
        <v>2593436.2295064949</v>
      </c>
      <c r="AF76" s="226">
        <f t="shared" si="72"/>
        <v>0</v>
      </c>
      <c r="AG76" s="226">
        <f t="shared" si="73"/>
        <v>701807.91733220057</v>
      </c>
      <c r="AH76" s="118">
        <f t="shared" si="74"/>
        <v>0</v>
      </c>
      <c r="AI76" s="118">
        <f t="shared" si="75"/>
        <v>0</v>
      </c>
      <c r="AJ76" s="118">
        <f t="shared" si="76"/>
        <v>0</v>
      </c>
      <c r="AK76" s="118">
        <f t="shared" si="77"/>
        <v>0</v>
      </c>
      <c r="AL76" s="118">
        <f t="shared" si="78"/>
        <v>0</v>
      </c>
      <c r="AM76" s="118">
        <f t="shared" si="79"/>
        <v>0</v>
      </c>
      <c r="AN76" s="118">
        <f t="shared" si="80"/>
        <v>49121.97</v>
      </c>
      <c r="AO76" s="118">
        <f t="shared" si="81"/>
        <v>107544.45000000004</v>
      </c>
      <c r="AP76" s="118">
        <f t="shared" si="82"/>
        <v>28733.599999999984</v>
      </c>
      <c r="AQ76" s="118">
        <f t="shared" si="83"/>
        <v>2189.200000000003</v>
      </c>
      <c r="AR76" s="118">
        <f t="shared" si="84"/>
        <v>33521.879999999983</v>
      </c>
      <c r="AS76" s="118">
        <f t="shared" si="85"/>
        <v>0</v>
      </c>
      <c r="AT76" s="118">
        <f t="shared" si="86"/>
        <v>0</v>
      </c>
      <c r="AU76" s="118">
        <f t="shared" si="87"/>
        <v>93972.801161825686</v>
      </c>
      <c r="AV76" s="118">
        <f t="shared" si="88"/>
        <v>0</v>
      </c>
      <c r="AW76" s="118">
        <f t="shared" si="89"/>
        <v>464620.6898043257</v>
      </c>
      <c r="AX76" s="118">
        <f t="shared" si="90"/>
        <v>0</v>
      </c>
      <c r="AY76" s="118">
        <f t="shared" si="91"/>
        <v>0</v>
      </c>
      <c r="AZ76" s="118">
        <v>140000</v>
      </c>
      <c r="BA76" s="118">
        <v>56398</v>
      </c>
      <c r="BB76" s="118">
        <v>7148</v>
      </c>
      <c r="BC76" s="118"/>
      <c r="BD76" s="118">
        <v>1148521</v>
      </c>
      <c r="BE76" s="118"/>
      <c r="BF76" s="276">
        <f t="shared" ref="BF76:BF89" si="96">AD76+AE76</f>
        <v>6237855.0457826192</v>
      </c>
      <c r="BG76" s="276">
        <f t="shared" si="69"/>
        <v>1481512.5082983519</v>
      </c>
      <c r="BH76" s="276">
        <f t="shared" si="92"/>
        <v>1352067</v>
      </c>
      <c r="BI76" s="276">
        <f t="shared" si="67"/>
        <v>464620.6898043257</v>
      </c>
      <c r="BJ76" s="276">
        <f t="shared" si="93"/>
        <v>9071434.5540809706</v>
      </c>
      <c r="BK76" s="276">
        <v>8867888.5500000007</v>
      </c>
      <c r="BL76" s="119">
        <v>7286.6791700000003</v>
      </c>
      <c r="BM76" s="119">
        <v>7066.3810999999996</v>
      </c>
      <c r="BN76" s="228">
        <v>3.1175515282396402E-2</v>
      </c>
      <c r="BO76" s="228">
        <v>0</v>
      </c>
      <c r="BP76" s="119">
        <v>0</v>
      </c>
      <c r="BQ76" s="281">
        <f t="shared" si="94"/>
        <v>9071434.5540809706</v>
      </c>
      <c r="BR76" s="119">
        <v>0</v>
      </c>
      <c r="BS76" s="119">
        <v>0</v>
      </c>
      <c r="BT76" s="120">
        <f t="shared" si="95"/>
        <v>9071434.5540809706</v>
      </c>
      <c r="BU76" s="229"/>
      <c r="BV76" s="302"/>
      <c r="BW76" s="303"/>
      <c r="BX76" s="303"/>
      <c r="BY76" s="303"/>
      <c r="BZ76" s="107">
        <v>89860</v>
      </c>
      <c r="CB76" s="302"/>
      <c r="CC76" s="303"/>
      <c r="CD76" s="303"/>
      <c r="CE76" s="303"/>
      <c r="CF76" s="303"/>
      <c r="CG76" s="303"/>
      <c r="CH76" s="323"/>
      <c r="CI76" s="303"/>
      <c r="CJ76" s="303"/>
      <c r="CK76" s="305"/>
    </row>
    <row r="77" spans="1:90" ht="14.5" thickBot="1" x14ac:dyDescent="0.3">
      <c r="A77" s="48">
        <v>3124600</v>
      </c>
      <c r="B77" s="135">
        <v>4600</v>
      </c>
      <c r="C77" s="98" t="s">
        <v>44</v>
      </c>
      <c r="D77" s="136">
        <v>953</v>
      </c>
      <c r="E77" s="136">
        <v>0</v>
      </c>
      <c r="F77" s="136">
        <v>953</v>
      </c>
      <c r="G77" s="136">
        <v>583</v>
      </c>
      <c r="H77" s="136">
        <v>370</v>
      </c>
      <c r="I77" s="136">
        <v>0</v>
      </c>
      <c r="J77" s="136">
        <v>99.064449064449065</v>
      </c>
      <c r="K77" s="136">
        <v>0</v>
      </c>
      <c r="L77" s="136">
        <v>0</v>
      </c>
      <c r="M77" s="136">
        <v>0</v>
      </c>
      <c r="N77" s="136">
        <v>0</v>
      </c>
      <c r="O77" s="136">
        <v>0</v>
      </c>
      <c r="P77" s="136">
        <v>0</v>
      </c>
      <c r="Q77" s="136">
        <v>121.00000000000043</v>
      </c>
      <c r="R77" s="136">
        <v>74.999999999999972</v>
      </c>
      <c r="S77" s="136">
        <v>22.999999999999986</v>
      </c>
      <c r="T77" s="136">
        <v>1.999999999999998</v>
      </c>
      <c r="U77" s="136">
        <v>0.999999999999999</v>
      </c>
      <c r="V77" s="136">
        <v>0</v>
      </c>
      <c r="W77" s="136">
        <v>0</v>
      </c>
      <c r="X77" s="136">
        <v>0.999999999999999</v>
      </c>
      <c r="Y77" s="136">
        <v>0</v>
      </c>
      <c r="Z77" s="136">
        <v>134.52165183193608</v>
      </c>
      <c r="AA77" s="136">
        <v>0</v>
      </c>
      <c r="AB77" s="136">
        <v>0</v>
      </c>
      <c r="AC77" s="226">
        <f t="shared" si="68"/>
        <v>0</v>
      </c>
      <c r="AD77" s="226">
        <f t="shared" si="70"/>
        <v>2832928.2265186403</v>
      </c>
      <c r="AE77" s="226">
        <f t="shared" si="71"/>
        <v>2054756.7557117841</v>
      </c>
      <c r="AF77" s="226">
        <f t="shared" si="72"/>
        <v>0</v>
      </c>
      <c r="AG77" s="226">
        <f t="shared" si="73"/>
        <v>143061.94282744284</v>
      </c>
      <c r="AH77" s="118">
        <f t="shared" si="74"/>
        <v>0</v>
      </c>
      <c r="AI77" s="118">
        <f t="shared" si="75"/>
        <v>0</v>
      </c>
      <c r="AJ77" s="118">
        <f t="shared" si="76"/>
        <v>0</v>
      </c>
      <c r="AK77" s="118">
        <f t="shared" si="77"/>
        <v>0</v>
      </c>
      <c r="AL77" s="118">
        <f t="shared" si="78"/>
        <v>0</v>
      </c>
      <c r="AM77" s="118">
        <f t="shared" si="79"/>
        <v>0</v>
      </c>
      <c r="AN77" s="118">
        <f t="shared" si="80"/>
        <v>16556.430000000058</v>
      </c>
      <c r="AO77" s="118">
        <f t="shared" si="81"/>
        <v>20523.749999999996</v>
      </c>
      <c r="AP77" s="118">
        <f t="shared" si="82"/>
        <v>9441.0399999999954</v>
      </c>
      <c r="AQ77" s="118">
        <f t="shared" si="83"/>
        <v>1094.5999999999988</v>
      </c>
      <c r="AR77" s="118">
        <f t="shared" si="84"/>
        <v>684.11999999999932</v>
      </c>
      <c r="AS77" s="118">
        <f t="shared" si="85"/>
        <v>0</v>
      </c>
      <c r="AT77" s="118">
        <f t="shared" si="86"/>
        <v>0</v>
      </c>
      <c r="AU77" s="118">
        <f t="shared" si="87"/>
        <v>1192.899999999999</v>
      </c>
      <c r="AV77" s="118">
        <f t="shared" si="88"/>
        <v>0</v>
      </c>
      <c r="AW77" s="118">
        <f t="shared" si="89"/>
        <v>237753.56744776384</v>
      </c>
      <c r="AX77" s="118">
        <f t="shared" si="90"/>
        <v>0</v>
      </c>
      <c r="AY77" s="118">
        <f t="shared" si="91"/>
        <v>0</v>
      </c>
      <c r="AZ77" s="118">
        <v>140000</v>
      </c>
      <c r="BA77" s="118">
        <v>25536</v>
      </c>
      <c r="BB77" s="118">
        <v>1536</v>
      </c>
      <c r="BC77" s="118"/>
      <c r="BD77" s="118"/>
      <c r="BE77" s="118"/>
      <c r="BF77" s="276">
        <f t="shared" si="96"/>
        <v>4887684.9822304249</v>
      </c>
      <c r="BG77" s="276">
        <f t="shared" si="69"/>
        <v>430308.35027520673</v>
      </c>
      <c r="BH77" s="276">
        <f t="shared" si="92"/>
        <v>167072</v>
      </c>
      <c r="BI77" s="276">
        <f t="shared" si="67"/>
        <v>237753.56744776384</v>
      </c>
      <c r="BJ77" s="276">
        <f t="shared" si="93"/>
        <v>5485065.3325056313</v>
      </c>
      <c r="BK77" s="276">
        <v>5317993.33</v>
      </c>
      <c r="BL77" s="119">
        <v>5580.2658300000003</v>
      </c>
      <c r="BM77" s="119">
        <v>5412.14966</v>
      </c>
      <c r="BN77" s="228">
        <v>3.1062733391431903E-2</v>
      </c>
      <c r="BO77" s="228">
        <v>0</v>
      </c>
      <c r="BP77" s="119">
        <v>0</v>
      </c>
      <c r="BQ77" s="281">
        <f t="shared" si="94"/>
        <v>5485065.3325056313</v>
      </c>
      <c r="BR77" s="119">
        <v>0</v>
      </c>
      <c r="BS77" s="119">
        <v>0</v>
      </c>
      <c r="BT77" s="120">
        <f t="shared" si="95"/>
        <v>5485065.3325056313</v>
      </c>
      <c r="BU77" s="229"/>
      <c r="BV77" s="302"/>
      <c r="BW77" s="303"/>
      <c r="BX77" s="303"/>
      <c r="BY77" s="303"/>
      <c r="BZ77" s="107">
        <v>120841.66666666667</v>
      </c>
      <c r="CB77" s="302"/>
      <c r="CC77" s="303"/>
      <c r="CD77" s="303"/>
      <c r="CE77" s="303"/>
      <c r="CF77" s="303"/>
      <c r="CG77" s="303"/>
      <c r="CH77" s="323"/>
      <c r="CI77" s="303"/>
      <c r="CJ77" s="303"/>
      <c r="CK77" s="305"/>
    </row>
    <row r="78" spans="1:90" ht="14.5" thickBot="1" x14ac:dyDescent="0.3">
      <c r="A78" s="48">
        <v>3125400</v>
      </c>
      <c r="B78" s="135">
        <v>5400</v>
      </c>
      <c r="C78" s="98" t="s">
        <v>34</v>
      </c>
      <c r="D78" s="136">
        <v>926</v>
      </c>
      <c r="E78" s="136">
        <v>0</v>
      </c>
      <c r="F78" s="136">
        <v>926</v>
      </c>
      <c r="G78" s="136">
        <v>557</v>
      </c>
      <c r="H78" s="136">
        <v>369</v>
      </c>
      <c r="I78" s="136">
        <v>0</v>
      </c>
      <c r="J78" s="136">
        <v>263.01178992497324</v>
      </c>
      <c r="K78" s="136">
        <v>0</v>
      </c>
      <c r="L78" s="136">
        <v>0</v>
      </c>
      <c r="M78" s="136">
        <v>0</v>
      </c>
      <c r="N78" s="136">
        <v>0</v>
      </c>
      <c r="O78" s="136">
        <v>0</v>
      </c>
      <c r="P78" s="136">
        <v>0</v>
      </c>
      <c r="Q78" s="136">
        <v>189.00000000000048</v>
      </c>
      <c r="R78" s="136">
        <v>196.99999999999991</v>
      </c>
      <c r="S78" s="136">
        <v>19.000000000000007</v>
      </c>
      <c r="T78" s="136">
        <v>1.999999999999996</v>
      </c>
      <c r="U78" s="136">
        <v>1.0000000000000027</v>
      </c>
      <c r="V78" s="136">
        <v>0</v>
      </c>
      <c r="W78" s="136">
        <v>0</v>
      </c>
      <c r="X78" s="136">
        <v>17.073752711496795</v>
      </c>
      <c r="Y78" s="136">
        <v>0</v>
      </c>
      <c r="Z78" s="136">
        <v>199.97618173567952</v>
      </c>
      <c r="AA78" s="136">
        <v>0</v>
      </c>
      <c r="AB78" s="136">
        <v>0</v>
      </c>
      <c r="AC78" s="226">
        <f t="shared" si="68"/>
        <v>0</v>
      </c>
      <c r="AD78" s="226">
        <f t="shared" si="70"/>
        <v>2706588.3742210683</v>
      </c>
      <c r="AE78" s="226">
        <f t="shared" si="71"/>
        <v>2049203.3590747253</v>
      </c>
      <c r="AF78" s="226">
        <f t="shared" si="72"/>
        <v>0</v>
      </c>
      <c r="AG78" s="226">
        <f t="shared" si="73"/>
        <v>379823.21618435165</v>
      </c>
      <c r="AH78" s="118">
        <f t="shared" si="74"/>
        <v>0</v>
      </c>
      <c r="AI78" s="118">
        <f t="shared" si="75"/>
        <v>0</v>
      </c>
      <c r="AJ78" s="118">
        <f t="shared" si="76"/>
        <v>0</v>
      </c>
      <c r="AK78" s="118">
        <f t="shared" si="77"/>
        <v>0</v>
      </c>
      <c r="AL78" s="118">
        <f t="shared" si="78"/>
        <v>0</v>
      </c>
      <c r="AM78" s="118">
        <f t="shared" si="79"/>
        <v>0</v>
      </c>
      <c r="AN78" s="118">
        <f t="shared" si="80"/>
        <v>25860.870000000068</v>
      </c>
      <c r="AO78" s="118">
        <f t="shared" si="81"/>
        <v>53909.049999999981</v>
      </c>
      <c r="AP78" s="118">
        <f t="shared" si="82"/>
        <v>7799.1200000000035</v>
      </c>
      <c r="AQ78" s="118">
        <f t="shared" si="83"/>
        <v>1094.5999999999976</v>
      </c>
      <c r="AR78" s="118">
        <f t="shared" si="84"/>
        <v>684.12000000000182</v>
      </c>
      <c r="AS78" s="118">
        <f t="shared" si="85"/>
        <v>0</v>
      </c>
      <c r="AT78" s="118">
        <f t="shared" si="86"/>
        <v>0</v>
      </c>
      <c r="AU78" s="118">
        <f t="shared" si="87"/>
        <v>20367.279609544526</v>
      </c>
      <c r="AV78" s="118">
        <f t="shared" si="88"/>
        <v>0</v>
      </c>
      <c r="AW78" s="118">
        <f t="shared" si="89"/>
        <v>353437.90359964001</v>
      </c>
      <c r="AX78" s="118">
        <f t="shared" si="90"/>
        <v>0</v>
      </c>
      <c r="AY78" s="118">
        <f t="shared" si="91"/>
        <v>0</v>
      </c>
      <c r="AZ78" s="118">
        <v>140000</v>
      </c>
      <c r="BA78" s="118">
        <v>37772</v>
      </c>
      <c r="BB78" s="118">
        <v>2272</v>
      </c>
      <c r="BC78" s="118"/>
      <c r="BD78" s="118"/>
      <c r="BE78" s="118"/>
      <c r="BF78" s="276">
        <f t="shared" si="96"/>
        <v>4755791.7332957936</v>
      </c>
      <c r="BG78" s="276">
        <f t="shared" si="69"/>
        <v>842976.15939353616</v>
      </c>
      <c r="BH78" s="276">
        <f t="shared" si="92"/>
        <v>180044</v>
      </c>
      <c r="BI78" s="276">
        <f t="shared" si="67"/>
        <v>353437.90359964001</v>
      </c>
      <c r="BJ78" s="276">
        <f t="shared" si="93"/>
        <v>5778811.8926893296</v>
      </c>
      <c r="BK78" s="276">
        <v>5598767.8899999997</v>
      </c>
      <c r="BL78" s="119">
        <v>6046.1856299999999</v>
      </c>
      <c r="BM78" s="119">
        <v>5875.6699699999999</v>
      </c>
      <c r="BN78" s="228">
        <v>2.9020633095527212E-2</v>
      </c>
      <c r="BO78" s="228">
        <v>0</v>
      </c>
      <c r="BP78" s="119">
        <v>0</v>
      </c>
      <c r="BQ78" s="281">
        <f t="shared" si="94"/>
        <v>5778811.8926893296</v>
      </c>
      <c r="BR78" s="119">
        <v>0</v>
      </c>
      <c r="BS78" s="119">
        <v>0</v>
      </c>
      <c r="BT78" s="120">
        <f t="shared" si="95"/>
        <v>5778811.8926893296</v>
      </c>
      <c r="BU78" s="229"/>
      <c r="BV78" s="302"/>
      <c r="BW78" s="303"/>
      <c r="BX78" s="303"/>
      <c r="BY78" s="303"/>
      <c r="BZ78" s="107">
        <v>251878</v>
      </c>
      <c r="CB78" s="302"/>
      <c r="CC78" s="303"/>
      <c r="CD78" s="303"/>
      <c r="CE78" s="303"/>
      <c r="CF78" s="303"/>
      <c r="CG78" s="303"/>
      <c r="CH78" s="323"/>
      <c r="CI78" s="303"/>
      <c r="CJ78" s="303"/>
      <c r="CK78" s="305"/>
    </row>
    <row r="79" spans="1:90" ht="14.5" thickBot="1" x14ac:dyDescent="0.3">
      <c r="A79" s="48">
        <v>3124009</v>
      </c>
      <c r="B79" s="135">
        <v>4009</v>
      </c>
      <c r="C79" s="98" t="s">
        <v>68</v>
      </c>
      <c r="D79" s="136">
        <v>107</v>
      </c>
      <c r="E79" s="136">
        <v>0</v>
      </c>
      <c r="F79" s="136">
        <v>107</v>
      </c>
      <c r="G79" s="136">
        <v>26</v>
      </c>
      <c r="H79" s="136">
        <v>81</v>
      </c>
      <c r="I79" s="136">
        <v>0</v>
      </c>
      <c r="J79" s="136">
        <v>34.728070175438596</v>
      </c>
      <c r="K79" s="136">
        <v>0</v>
      </c>
      <c r="L79" s="136">
        <v>0</v>
      </c>
      <c r="M79" s="136">
        <v>0</v>
      </c>
      <c r="N79" s="136">
        <v>0</v>
      </c>
      <c r="O79" s="136">
        <v>0</v>
      </c>
      <c r="P79" s="136">
        <v>0</v>
      </c>
      <c r="Q79" s="136">
        <v>33</v>
      </c>
      <c r="R79" s="136">
        <v>32.000000000000036</v>
      </c>
      <c r="S79" s="136">
        <v>3.0000000000000009</v>
      </c>
      <c r="T79" s="136">
        <v>0.99999999999999956</v>
      </c>
      <c r="U79" s="136">
        <v>3.0000000000000009</v>
      </c>
      <c r="V79" s="136">
        <v>0</v>
      </c>
      <c r="W79" s="136">
        <v>0</v>
      </c>
      <c r="X79" s="136">
        <v>17.160377358490564</v>
      </c>
      <c r="Y79" s="136">
        <v>0</v>
      </c>
      <c r="Z79" s="136">
        <v>22.95481080158968</v>
      </c>
      <c r="AA79" s="136">
        <v>0</v>
      </c>
      <c r="AB79" s="136">
        <v>0</v>
      </c>
      <c r="AC79" s="226">
        <f t="shared" si="68"/>
        <v>0</v>
      </c>
      <c r="AD79" s="226">
        <f t="shared" si="70"/>
        <v>126339.8522975723</v>
      </c>
      <c r="AE79" s="226">
        <f t="shared" si="71"/>
        <v>449825.12760176894</v>
      </c>
      <c r="AF79" s="226">
        <f t="shared" si="72"/>
        <v>0</v>
      </c>
      <c r="AG79" s="226">
        <f t="shared" si="73"/>
        <v>50151.847982456144</v>
      </c>
      <c r="AH79" s="118">
        <f t="shared" si="74"/>
        <v>0</v>
      </c>
      <c r="AI79" s="118">
        <f t="shared" si="75"/>
        <v>0</v>
      </c>
      <c r="AJ79" s="118">
        <f t="shared" si="76"/>
        <v>0</v>
      </c>
      <c r="AK79" s="118">
        <f t="shared" si="77"/>
        <v>0</v>
      </c>
      <c r="AL79" s="118">
        <f t="shared" si="78"/>
        <v>0</v>
      </c>
      <c r="AM79" s="118">
        <f t="shared" si="79"/>
        <v>0</v>
      </c>
      <c r="AN79" s="118">
        <f t="shared" si="80"/>
        <v>4515.3900000000003</v>
      </c>
      <c r="AO79" s="118">
        <f t="shared" si="81"/>
        <v>8756.8000000000102</v>
      </c>
      <c r="AP79" s="118">
        <f t="shared" si="82"/>
        <v>1231.4400000000005</v>
      </c>
      <c r="AQ79" s="118">
        <f t="shared" si="83"/>
        <v>547.29999999999973</v>
      </c>
      <c r="AR79" s="118">
        <f t="shared" si="84"/>
        <v>2052.3600000000006</v>
      </c>
      <c r="AS79" s="118">
        <f t="shared" si="85"/>
        <v>0</v>
      </c>
      <c r="AT79" s="118">
        <f t="shared" si="86"/>
        <v>0</v>
      </c>
      <c r="AU79" s="118">
        <f t="shared" si="87"/>
        <v>20470.614150943395</v>
      </c>
      <c r="AV79" s="118">
        <f t="shared" si="88"/>
        <v>0</v>
      </c>
      <c r="AW79" s="118">
        <f t="shared" si="89"/>
        <v>40570.332610729602</v>
      </c>
      <c r="AX79" s="118">
        <f t="shared" si="90"/>
        <v>0</v>
      </c>
      <c r="AY79" s="118">
        <f t="shared" si="91"/>
        <v>0</v>
      </c>
      <c r="AZ79" s="118">
        <v>140000</v>
      </c>
      <c r="BA79" s="118">
        <v>0</v>
      </c>
      <c r="BB79" s="118">
        <v>0</v>
      </c>
      <c r="BC79" s="118"/>
      <c r="BD79" s="118"/>
      <c r="BE79" s="118"/>
      <c r="BF79" s="276">
        <f t="shared" si="96"/>
        <v>576164.97989934124</v>
      </c>
      <c r="BG79" s="276">
        <f t="shared" si="69"/>
        <v>128296.08474412916</v>
      </c>
      <c r="BH79" s="276">
        <f t="shared" si="92"/>
        <v>140000</v>
      </c>
      <c r="BI79" s="276">
        <f t="shared" si="67"/>
        <v>40570.332610729602</v>
      </c>
      <c r="BJ79" s="276">
        <f t="shared" si="93"/>
        <v>844461.06464347034</v>
      </c>
      <c r="BK79" s="276">
        <v>704461.06</v>
      </c>
      <c r="BL79" s="119">
        <v>6583.74827</v>
      </c>
      <c r="BM79" s="119">
        <v>6504.21234</v>
      </c>
      <c r="BN79" s="228">
        <v>1.2228372482662826E-2</v>
      </c>
      <c r="BO79" s="228">
        <v>0</v>
      </c>
      <c r="BP79" s="119">
        <v>0</v>
      </c>
      <c r="BQ79" s="281">
        <f t="shared" si="94"/>
        <v>844461.06464347034</v>
      </c>
      <c r="BR79" s="119">
        <v>0</v>
      </c>
      <c r="BS79" s="119">
        <v>0</v>
      </c>
      <c r="BT79" s="120">
        <f t="shared" si="95"/>
        <v>844461.06464347034</v>
      </c>
      <c r="BU79" s="229"/>
      <c r="BV79" s="302"/>
      <c r="BW79" s="303"/>
      <c r="BX79" s="303"/>
      <c r="BY79" s="303"/>
      <c r="BZ79" s="107">
        <v>0</v>
      </c>
      <c r="CB79" s="302"/>
      <c r="CC79" s="303"/>
      <c r="CD79" s="303"/>
      <c r="CE79" s="303"/>
      <c r="CF79" s="303"/>
      <c r="CG79" s="303"/>
      <c r="CH79" s="323"/>
      <c r="CI79" s="303"/>
      <c r="CJ79" s="303"/>
      <c r="CK79" s="305"/>
    </row>
    <row r="80" spans="1:90" ht="14.5" thickBot="1" x14ac:dyDescent="0.3">
      <c r="A80" s="48">
        <v>3125411</v>
      </c>
      <c r="B80" s="135">
        <v>5411</v>
      </c>
      <c r="C80" s="98" t="s">
        <v>93</v>
      </c>
      <c r="D80" s="136">
        <v>1043</v>
      </c>
      <c r="E80" s="136">
        <v>0</v>
      </c>
      <c r="F80" s="136">
        <v>1043</v>
      </c>
      <c r="G80" s="136">
        <v>628</v>
      </c>
      <c r="H80" s="136">
        <v>415</v>
      </c>
      <c r="I80" s="136">
        <v>0</v>
      </c>
      <c r="J80" s="136">
        <v>397.13426853707415</v>
      </c>
      <c r="K80" s="136">
        <v>0</v>
      </c>
      <c r="L80" s="136">
        <v>0</v>
      </c>
      <c r="M80" s="136">
        <v>0</v>
      </c>
      <c r="N80" s="136">
        <v>0</v>
      </c>
      <c r="O80" s="136">
        <v>0</v>
      </c>
      <c r="P80" s="136">
        <v>0</v>
      </c>
      <c r="Q80" s="136">
        <v>308.29558541266772</v>
      </c>
      <c r="R80" s="136">
        <v>338.32437619961632</v>
      </c>
      <c r="S80" s="136">
        <v>10.009596928982729</v>
      </c>
      <c r="T80" s="136">
        <v>3.0028790786948196</v>
      </c>
      <c r="U80" s="136">
        <v>7.0067178502879086</v>
      </c>
      <c r="V80" s="136">
        <v>0</v>
      </c>
      <c r="W80" s="136">
        <v>0</v>
      </c>
      <c r="X80" s="136">
        <v>99.190201729106604</v>
      </c>
      <c r="Y80" s="136">
        <v>0</v>
      </c>
      <c r="Z80" s="136">
        <v>334.8748561869387</v>
      </c>
      <c r="AA80" s="136">
        <v>0</v>
      </c>
      <c r="AB80" s="136">
        <v>0</v>
      </c>
      <c r="AC80" s="226">
        <f t="shared" si="68"/>
        <v>0</v>
      </c>
      <c r="AD80" s="226">
        <f t="shared" si="70"/>
        <v>3051593.3554952079</v>
      </c>
      <c r="AE80" s="226">
        <f t="shared" si="71"/>
        <v>2304659.6043794337</v>
      </c>
      <c r="AF80" s="226">
        <f t="shared" si="72"/>
        <v>0</v>
      </c>
      <c r="AG80" s="226">
        <f t="shared" si="73"/>
        <v>573513.51122244494</v>
      </c>
      <c r="AH80" s="118">
        <f t="shared" si="74"/>
        <v>0</v>
      </c>
      <c r="AI80" s="118">
        <f t="shared" si="75"/>
        <v>0</v>
      </c>
      <c r="AJ80" s="118">
        <f t="shared" si="76"/>
        <v>0</v>
      </c>
      <c r="AK80" s="118">
        <f t="shared" si="77"/>
        <v>0</v>
      </c>
      <c r="AL80" s="118">
        <f t="shared" si="78"/>
        <v>0</v>
      </c>
      <c r="AM80" s="118">
        <f t="shared" si="79"/>
        <v>0</v>
      </c>
      <c r="AN80" s="118">
        <f t="shared" si="80"/>
        <v>42184.084952015328</v>
      </c>
      <c r="AO80" s="118">
        <f t="shared" si="81"/>
        <v>92582.465547025015</v>
      </c>
      <c r="AP80" s="118">
        <f t="shared" si="82"/>
        <v>4108.7393474088312</v>
      </c>
      <c r="AQ80" s="118">
        <f t="shared" si="83"/>
        <v>1643.4757197696747</v>
      </c>
      <c r="AR80" s="118">
        <f t="shared" si="84"/>
        <v>4793.4358157389643</v>
      </c>
      <c r="AS80" s="118">
        <f t="shared" si="85"/>
        <v>0</v>
      </c>
      <c r="AT80" s="118">
        <f t="shared" si="86"/>
        <v>0</v>
      </c>
      <c r="AU80" s="118">
        <f t="shared" si="87"/>
        <v>118323.99164265128</v>
      </c>
      <c r="AV80" s="118">
        <f t="shared" si="88"/>
        <v>0</v>
      </c>
      <c r="AW80" s="118">
        <f t="shared" si="89"/>
        <v>591857.82082479552</v>
      </c>
      <c r="AX80" s="118">
        <f t="shared" si="90"/>
        <v>0</v>
      </c>
      <c r="AY80" s="118">
        <f t="shared" si="91"/>
        <v>0</v>
      </c>
      <c r="AZ80" s="118">
        <v>140000</v>
      </c>
      <c r="BA80" s="118">
        <v>38264</v>
      </c>
      <c r="BB80" s="118">
        <v>4014</v>
      </c>
      <c r="BC80" s="118"/>
      <c r="BD80" s="118"/>
      <c r="BE80" s="118"/>
      <c r="BF80" s="276">
        <f t="shared" si="96"/>
        <v>5356252.9598746412</v>
      </c>
      <c r="BG80" s="276">
        <f t="shared" si="69"/>
        <v>1429007.5250718496</v>
      </c>
      <c r="BH80" s="276">
        <f t="shared" si="92"/>
        <v>182278</v>
      </c>
      <c r="BI80" s="276">
        <f t="shared" si="67"/>
        <v>591857.82082479552</v>
      </c>
      <c r="BJ80" s="276">
        <f t="shared" si="93"/>
        <v>6967538.4849464912</v>
      </c>
      <c r="BK80" s="276">
        <v>6785260.4800000004</v>
      </c>
      <c r="BL80" s="119">
        <v>6505.5230000000001</v>
      </c>
      <c r="BM80" s="119">
        <v>6442.6065699999999</v>
      </c>
      <c r="BN80" s="228">
        <v>9.7656792627515959E-3</v>
      </c>
      <c r="BO80" s="228">
        <v>0</v>
      </c>
      <c r="BP80" s="119">
        <v>0</v>
      </c>
      <c r="BQ80" s="281">
        <f t="shared" si="94"/>
        <v>6967538.4849464912</v>
      </c>
      <c r="BR80" s="119">
        <v>-2284.17</v>
      </c>
      <c r="BS80" s="119">
        <v>-1324.6100000000001</v>
      </c>
      <c r="BT80" s="120">
        <f t="shared" si="95"/>
        <v>6963929.7049464909</v>
      </c>
      <c r="BU80" s="229"/>
      <c r="BV80" s="302"/>
      <c r="BW80" s="303"/>
      <c r="BX80" s="303"/>
      <c r="BY80" s="303"/>
      <c r="BZ80" s="107">
        <v>142200</v>
      </c>
      <c r="CA80" s="273"/>
      <c r="CB80" s="314">
        <f>$J80*955</f>
        <v>379263.2264529058</v>
      </c>
      <c r="CC80" s="315">
        <v>0</v>
      </c>
      <c r="CD80" s="315">
        <v>0</v>
      </c>
      <c r="CE80" s="315"/>
      <c r="CF80" s="315"/>
      <c r="CG80" s="316"/>
      <c r="CH80" s="324"/>
      <c r="CI80" s="315"/>
      <c r="CJ80" s="315">
        <v>352964</v>
      </c>
      <c r="CK80" s="347">
        <v>739203</v>
      </c>
    </row>
    <row r="81" spans="1:89" ht="14.5" thickBot="1" x14ac:dyDescent="0.3">
      <c r="A81" s="48">
        <v>3125401</v>
      </c>
      <c r="B81" s="135">
        <v>5401</v>
      </c>
      <c r="C81" s="98" t="s">
        <v>98</v>
      </c>
      <c r="D81" s="136">
        <v>1391</v>
      </c>
      <c r="E81" s="136">
        <v>0</v>
      </c>
      <c r="F81" s="136">
        <v>1391</v>
      </c>
      <c r="G81" s="136">
        <v>804</v>
      </c>
      <c r="H81" s="136">
        <v>587</v>
      </c>
      <c r="I81" s="136">
        <v>0</v>
      </c>
      <c r="J81" s="136">
        <v>241.70535714285714</v>
      </c>
      <c r="K81" s="136">
        <v>0</v>
      </c>
      <c r="L81" s="136">
        <v>0</v>
      </c>
      <c r="M81" s="136">
        <v>0</v>
      </c>
      <c r="N81" s="136">
        <v>0</v>
      </c>
      <c r="O81" s="136">
        <v>0</v>
      </c>
      <c r="P81" s="136">
        <v>0</v>
      </c>
      <c r="Q81" s="136">
        <v>304.99999999999943</v>
      </c>
      <c r="R81" s="136">
        <v>72.000000000000043</v>
      </c>
      <c r="S81" s="136">
        <v>33.999999999999979</v>
      </c>
      <c r="T81" s="136">
        <v>3.999999999999996</v>
      </c>
      <c r="U81" s="136">
        <v>6.9999999999999991</v>
      </c>
      <c r="V81" s="136">
        <v>0</v>
      </c>
      <c r="W81" s="136">
        <v>0</v>
      </c>
      <c r="X81" s="136">
        <v>79.17074927953891</v>
      </c>
      <c r="Y81" s="136">
        <v>0</v>
      </c>
      <c r="Z81" s="136">
        <v>219.13990302572111</v>
      </c>
      <c r="AA81" s="136">
        <v>0</v>
      </c>
      <c r="AB81" s="136">
        <v>0</v>
      </c>
      <c r="AC81" s="226">
        <f t="shared" si="68"/>
        <v>0</v>
      </c>
      <c r="AD81" s="226">
        <f t="shared" si="70"/>
        <v>3906816.9710480049</v>
      </c>
      <c r="AE81" s="226">
        <f t="shared" si="71"/>
        <v>3259843.8259535604</v>
      </c>
      <c r="AF81" s="226">
        <f t="shared" si="72"/>
        <v>0</v>
      </c>
      <c r="AG81" s="226">
        <f t="shared" si="73"/>
        <v>349053.9574107143</v>
      </c>
      <c r="AH81" s="118">
        <f t="shared" si="74"/>
        <v>0</v>
      </c>
      <c r="AI81" s="118">
        <f t="shared" si="75"/>
        <v>0</v>
      </c>
      <c r="AJ81" s="118">
        <f t="shared" si="76"/>
        <v>0</v>
      </c>
      <c r="AK81" s="118">
        <f t="shared" si="77"/>
        <v>0</v>
      </c>
      <c r="AL81" s="118">
        <f t="shared" si="78"/>
        <v>0</v>
      </c>
      <c r="AM81" s="118">
        <f t="shared" si="79"/>
        <v>0</v>
      </c>
      <c r="AN81" s="118">
        <f t="shared" si="80"/>
        <v>41733.149999999929</v>
      </c>
      <c r="AO81" s="118">
        <f t="shared" si="81"/>
        <v>19702.800000000014</v>
      </c>
      <c r="AP81" s="118">
        <f t="shared" si="82"/>
        <v>13956.319999999992</v>
      </c>
      <c r="AQ81" s="118">
        <f t="shared" si="83"/>
        <v>2189.1999999999975</v>
      </c>
      <c r="AR81" s="118">
        <f t="shared" si="84"/>
        <v>4788.8399999999992</v>
      </c>
      <c r="AS81" s="118">
        <f t="shared" si="85"/>
        <v>0</v>
      </c>
      <c r="AT81" s="118">
        <f t="shared" si="86"/>
        <v>0</v>
      </c>
      <c r="AU81" s="118">
        <f t="shared" si="87"/>
        <v>94442.78681556198</v>
      </c>
      <c r="AV81" s="118">
        <f t="shared" si="88"/>
        <v>0</v>
      </c>
      <c r="AW81" s="118">
        <f t="shared" si="89"/>
        <v>387307.86460765952</v>
      </c>
      <c r="AX81" s="118">
        <f t="shared" si="90"/>
        <v>0</v>
      </c>
      <c r="AY81" s="118">
        <f t="shared" si="91"/>
        <v>0</v>
      </c>
      <c r="AZ81" s="118">
        <v>140000</v>
      </c>
      <c r="BA81" s="118">
        <v>35910</v>
      </c>
      <c r="BB81" s="118">
        <v>2160</v>
      </c>
      <c r="BC81" s="118"/>
      <c r="BD81" s="118"/>
      <c r="BE81" s="118"/>
      <c r="BF81" s="276">
        <f t="shared" si="96"/>
        <v>7166660.7970015649</v>
      </c>
      <c r="BG81" s="276">
        <f t="shared" si="69"/>
        <v>913174.91883393575</v>
      </c>
      <c r="BH81" s="276">
        <f t="shared" si="92"/>
        <v>178070</v>
      </c>
      <c r="BI81" s="276">
        <f t="shared" si="67"/>
        <v>387307.86460765952</v>
      </c>
      <c r="BJ81" s="276">
        <f t="shared" si="93"/>
        <v>8257905.7158355005</v>
      </c>
      <c r="BK81" s="276">
        <v>8079835.7199999997</v>
      </c>
      <c r="BL81" s="119">
        <v>5808.6525600000004</v>
      </c>
      <c r="BM81" s="119">
        <v>5615.6447200000002</v>
      </c>
      <c r="BN81" s="228">
        <v>3.4369668379452968E-2</v>
      </c>
      <c r="BO81" s="228">
        <v>0</v>
      </c>
      <c r="BP81" s="119">
        <v>0</v>
      </c>
      <c r="BQ81" s="281">
        <f t="shared" si="94"/>
        <v>8257905.7158355005</v>
      </c>
      <c r="BR81" s="119">
        <v>0</v>
      </c>
      <c r="BS81" s="119">
        <v>0</v>
      </c>
      <c r="BT81" s="120">
        <f t="shared" si="95"/>
        <v>8257905.7158355005</v>
      </c>
      <c r="BU81" s="229"/>
      <c r="BV81" s="302"/>
      <c r="BW81" s="303"/>
      <c r="BX81" s="303"/>
      <c r="BY81" s="303"/>
      <c r="BZ81" s="107">
        <v>88416</v>
      </c>
      <c r="CB81" s="302"/>
      <c r="CC81" s="303"/>
      <c r="CD81" s="303"/>
      <c r="CE81" s="303"/>
      <c r="CF81" s="303"/>
      <c r="CG81" s="316"/>
      <c r="CH81" s="324"/>
      <c r="CI81" s="303"/>
      <c r="CJ81" s="303"/>
      <c r="CK81" s="305"/>
    </row>
    <row r="82" spans="1:89" ht="14.5" thickBot="1" x14ac:dyDescent="0.3">
      <c r="A82" s="48">
        <v>3124024</v>
      </c>
      <c r="B82" s="135">
        <v>4024</v>
      </c>
      <c r="C82" s="98" t="s">
        <v>102</v>
      </c>
      <c r="D82" s="136">
        <v>85</v>
      </c>
      <c r="E82" s="136">
        <v>0</v>
      </c>
      <c r="F82" s="136">
        <v>85</v>
      </c>
      <c r="G82" s="136">
        <v>0</v>
      </c>
      <c r="H82" s="136">
        <v>85</v>
      </c>
      <c r="I82" s="136">
        <v>0</v>
      </c>
      <c r="J82" s="136">
        <v>42.5</v>
      </c>
      <c r="K82" s="136">
        <v>0</v>
      </c>
      <c r="L82" s="136">
        <v>0</v>
      </c>
      <c r="M82" s="136">
        <v>0</v>
      </c>
      <c r="N82" s="136">
        <v>0</v>
      </c>
      <c r="O82" s="136">
        <v>0</v>
      </c>
      <c r="P82" s="136">
        <v>0</v>
      </c>
      <c r="Q82" s="136">
        <v>21.000000000000021</v>
      </c>
      <c r="R82" s="136">
        <v>11.999999999999973</v>
      </c>
      <c r="S82" s="136">
        <v>5.9999999999999964</v>
      </c>
      <c r="T82" s="136">
        <v>0.99999999999999645</v>
      </c>
      <c r="U82" s="136">
        <v>4.0000000000000027</v>
      </c>
      <c r="V82" s="136">
        <v>0.99999999999999645</v>
      </c>
      <c r="W82" s="136">
        <v>0</v>
      </c>
      <c r="X82" s="136">
        <v>5.9999999999999964</v>
      </c>
      <c r="Y82" s="136">
        <v>0</v>
      </c>
      <c r="Z82" s="136">
        <v>24.379763058409093</v>
      </c>
      <c r="AA82" s="136">
        <v>0</v>
      </c>
      <c r="AB82" s="136">
        <v>0</v>
      </c>
      <c r="AC82" s="226">
        <f t="shared" si="68"/>
        <v>0</v>
      </c>
      <c r="AD82" s="226">
        <f t="shared" si="70"/>
        <v>0</v>
      </c>
      <c r="AE82" s="226">
        <f t="shared" si="71"/>
        <v>472038.71415000444</v>
      </c>
      <c r="AF82" s="226">
        <f t="shared" si="72"/>
        <v>0</v>
      </c>
      <c r="AG82" s="226">
        <f t="shared" si="73"/>
        <v>61375.525000000001</v>
      </c>
      <c r="AH82" s="118">
        <f t="shared" si="74"/>
        <v>0</v>
      </c>
      <c r="AI82" s="118">
        <f t="shared" si="75"/>
        <v>0</v>
      </c>
      <c r="AJ82" s="118">
        <f t="shared" si="76"/>
        <v>0</v>
      </c>
      <c r="AK82" s="118">
        <f t="shared" si="77"/>
        <v>0</v>
      </c>
      <c r="AL82" s="118">
        <f t="shared" si="78"/>
        <v>0</v>
      </c>
      <c r="AM82" s="118">
        <f t="shared" si="79"/>
        <v>0</v>
      </c>
      <c r="AN82" s="118">
        <f t="shared" si="80"/>
        <v>2873.430000000003</v>
      </c>
      <c r="AO82" s="118">
        <f t="shared" si="81"/>
        <v>3283.7999999999929</v>
      </c>
      <c r="AP82" s="118">
        <f t="shared" si="82"/>
        <v>2462.8799999999987</v>
      </c>
      <c r="AQ82" s="118">
        <f t="shared" si="83"/>
        <v>547.29999999999802</v>
      </c>
      <c r="AR82" s="118">
        <f t="shared" si="84"/>
        <v>2736.4800000000018</v>
      </c>
      <c r="AS82" s="118">
        <f t="shared" si="85"/>
        <v>820.94999999999709</v>
      </c>
      <c r="AT82" s="118">
        <f t="shared" si="86"/>
        <v>0</v>
      </c>
      <c r="AU82" s="118">
        <f t="shared" si="87"/>
        <v>7157.399999999996</v>
      </c>
      <c r="AV82" s="118">
        <f t="shared" si="88"/>
        <v>0</v>
      </c>
      <c r="AW82" s="118">
        <f t="shared" si="89"/>
        <v>43088.793229432231</v>
      </c>
      <c r="AX82" s="118">
        <f t="shared" si="90"/>
        <v>0</v>
      </c>
      <c r="AY82" s="118">
        <f t="shared" si="91"/>
        <v>0</v>
      </c>
      <c r="AZ82" s="118">
        <v>140000</v>
      </c>
      <c r="BA82" s="118">
        <v>29411</v>
      </c>
      <c r="BB82" s="118">
        <v>2661</v>
      </c>
      <c r="BC82" s="118"/>
      <c r="BD82" s="118"/>
      <c r="BE82" s="118"/>
      <c r="BF82" s="276">
        <f t="shared" si="96"/>
        <v>472038.71415000444</v>
      </c>
      <c r="BG82" s="276">
        <f t="shared" si="69"/>
        <v>124346.55822943221</v>
      </c>
      <c r="BH82" s="276">
        <f t="shared" si="92"/>
        <v>172072</v>
      </c>
      <c r="BI82" s="276">
        <f t="shared" si="67"/>
        <v>43088.793229432231</v>
      </c>
      <c r="BJ82" s="276">
        <f t="shared" si="93"/>
        <v>768457.27237943665</v>
      </c>
      <c r="BK82" s="276">
        <v>596385.27</v>
      </c>
      <c r="BL82" s="119">
        <v>7016.2973199999997</v>
      </c>
      <c r="BM82" s="119">
        <v>6820.9391699999996</v>
      </c>
      <c r="BN82" s="228">
        <v>2.8640945621359947E-2</v>
      </c>
      <c r="BO82" s="228">
        <v>0</v>
      </c>
      <c r="BP82" s="119">
        <v>0</v>
      </c>
      <c r="BQ82" s="281">
        <f t="shared" si="94"/>
        <v>768457.27237943665</v>
      </c>
      <c r="BR82" s="119">
        <v>0</v>
      </c>
      <c r="BS82" s="119">
        <v>0</v>
      </c>
      <c r="BT82" s="120">
        <f t="shared" si="95"/>
        <v>768457.27237943665</v>
      </c>
      <c r="BU82" s="229"/>
      <c r="BV82" s="302"/>
      <c r="BW82" s="303"/>
      <c r="BX82" s="303"/>
      <c r="BY82" s="303"/>
      <c r="BZ82" s="107">
        <v>18541.666666666668</v>
      </c>
      <c r="CB82" s="302"/>
      <c r="CC82" s="303"/>
      <c r="CD82" s="303"/>
      <c r="CE82" s="303"/>
      <c r="CF82" s="303"/>
      <c r="CG82" s="316"/>
      <c r="CH82" s="324"/>
      <c r="CI82" s="303"/>
      <c r="CJ82" s="303"/>
      <c r="CK82" s="305"/>
    </row>
    <row r="83" spans="1:89" ht="14.5" thickBot="1" x14ac:dyDescent="0.3">
      <c r="A83" s="48">
        <v>3125407</v>
      </c>
      <c r="B83" s="135">
        <v>5407</v>
      </c>
      <c r="C83" s="98" t="s">
        <v>108</v>
      </c>
      <c r="D83" s="136">
        <v>400</v>
      </c>
      <c r="E83" s="136">
        <v>0</v>
      </c>
      <c r="F83" s="136">
        <v>400</v>
      </c>
      <c r="G83" s="136">
        <v>286</v>
      </c>
      <c r="H83" s="136">
        <v>114</v>
      </c>
      <c r="I83" s="136">
        <v>0</v>
      </c>
      <c r="J83" s="136">
        <v>156.61375661375661</v>
      </c>
      <c r="K83" s="136">
        <v>0</v>
      </c>
      <c r="L83" s="136">
        <v>0</v>
      </c>
      <c r="M83" s="136">
        <v>0</v>
      </c>
      <c r="N83" s="136">
        <v>0</v>
      </c>
      <c r="O83" s="136">
        <v>0</v>
      </c>
      <c r="P83" s="136">
        <v>0</v>
      </c>
      <c r="Q83" s="136">
        <v>119</v>
      </c>
      <c r="R83" s="136">
        <v>109.00000000000001</v>
      </c>
      <c r="S83" s="136">
        <v>7.0000000000000009</v>
      </c>
      <c r="T83" s="136">
        <v>3</v>
      </c>
      <c r="U83" s="136">
        <v>9</v>
      </c>
      <c r="V83" s="136">
        <v>0</v>
      </c>
      <c r="W83" s="136">
        <v>0</v>
      </c>
      <c r="X83" s="136">
        <v>102</v>
      </c>
      <c r="Y83" s="136">
        <v>0</v>
      </c>
      <c r="Z83" s="136">
        <v>131.97249613124589</v>
      </c>
      <c r="AA83" s="136">
        <v>0</v>
      </c>
      <c r="AB83" s="136">
        <v>35</v>
      </c>
      <c r="AC83" s="226">
        <f t="shared" si="68"/>
        <v>0</v>
      </c>
      <c r="AD83" s="226">
        <f t="shared" si="70"/>
        <v>1389738.3752732952</v>
      </c>
      <c r="AE83" s="226">
        <f t="shared" si="71"/>
        <v>633087.21662471187</v>
      </c>
      <c r="AF83" s="226">
        <f t="shared" si="72"/>
        <v>0</v>
      </c>
      <c r="AG83" s="226">
        <f t="shared" si="73"/>
        <v>226170.62433862436</v>
      </c>
      <c r="AH83" s="118">
        <f t="shared" si="74"/>
        <v>0</v>
      </c>
      <c r="AI83" s="118">
        <f t="shared" si="75"/>
        <v>0</v>
      </c>
      <c r="AJ83" s="118">
        <f t="shared" si="76"/>
        <v>0</v>
      </c>
      <c r="AK83" s="118">
        <f t="shared" si="77"/>
        <v>0</v>
      </c>
      <c r="AL83" s="118">
        <f t="shared" si="78"/>
        <v>0</v>
      </c>
      <c r="AM83" s="118">
        <f t="shared" si="79"/>
        <v>0</v>
      </c>
      <c r="AN83" s="118">
        <f t="shared" si="80"/>
        <v>16282.770000000002</v>
      </c>
      <c r="AO83" s="118">
        <f t="shared" si="81"/>
        <v>29827.850000000006</v>
      </c>
      <c r="AP83" s="118">
        <f t="shared" si="82"/>
        <v>2873.3600000000006</v>
      </c>
      <c r="AQ83" s="118">
        <f t="shared" si="83"/>
        <v>1641.8999999999999</v>
      </c>
      <c r="AR83" s="118">
        <f t="shared" si="84"/>
        <v>6157.08</v>
      </c>
      <c r="AS83" s="118">
        <f t="shared" si="85"/>
        <v>0</v>
      </c>
      <c r="AT83" s="118">
        <f t="shared" si="86"/>
        <v>0</v>
      </c>
      <c r="AU83" s="118">
        <f t="shared" si="87"/>
        <v>121675.8</v>
      </c>
      <c r="AV83" s="118">
        <f t="shared" si="88"/>
        <v>0</v>
      </c>
      <c r="AW83" s="118">
        <f t="shared" si="89"/>
        <v>233248.18966236399</v>
      </c>
      <c r="AX83" s="118">
        <f t="shared" si="90"/>
        <v>0</v>
      </c>
      <c r="AY83" s="118">
        <f t="shared" si="91"/>
        <v>49619.5</v>
      </c>
      <c r="AZ83" s="118">
        <v>140000</v>
      </c>
      <c r="BA83" s="118">
        <v>29486</v>
      </c>
      <c r="BB83" s="118">
        <v>14586</v>
      </c>
      <c r="BC83" s="118"/>
      <c r="BD83" s="118"/>
      <c r="BE83" s="118"/>
      <c r="BF83" s="276">
        <f t="shared" si="96"/>
        <v>2022825.5918980071</v>
      </c>
      <c r="BG83" s="276">
        <f t="shared" si="69"/>
        <v>687497.07400098839</v>
      </c>
      <c r="BH83" s="276">
        <f t="shared" si="92"/>
        <v>184072</v>
      </c>
      <c r="BI83" s="276">
        <f t="shared" si="67"/>
        <v>233248.18966236399</v>
      </c>
      <c r="BJ83" s="276">
        <f t="shared" si="93"/>
        <v>2894394.6658989955</v>
      </c>
      <c r="BK83" s="276">
        <v>2710322.67</v>
      </c>
      <c r="BL83" s="119">
        <v>6775.8066600000002</v>
      </c>
      <c r="BM83" s="119">
        <v>6490.3734100000001</v>
      </c>
      <c r="BN83" s="228">
        <v>4.3977940598910671E-2</v>
      </c>
      <c r="BO83" s="228">
        <v>0</v>
      </c>
      <c r="BP83" s="119">
        <v>0</v>
      </c>
      <c r="BQ83" s="281">
        <f t="shared" si="94"/>
        <v>2894394.6658989955</v>
      </c>
      <c r="BR83" s="119">
        <v>0</v>
      </c>
      <c r="BS83" s="119">
        <v>0</v>
      </c>
      <c r="BT83" s="120">
        <f t="shared" si="95"/>
        <v>2894394.6658989955</v>
      </c>
      <c r="BU83" s="229"/>
      <c r="BV83" s="302"/>
      <c r="BW83" s="303"/>
      <c r="BX83" s="303"/>
      <c r="BY83" s="303"/>
      <c r="BZ83" s="107">
        <v>48100</v>
      </c>
      <c r="CB83" s="302"/>
      <c r="CC83" s="303"/>
      <c r="CD83" s="303"/>
      <c r="CE83" s="303"/>
      <c r="CF83" s="303"/>
      <c r="CG83" s="316"/>
      <c r="CH83" s="324"/>
      <c r="CI83" s="303"/>
      <c r="CJ83" s="303"/>
      <c r="CK83" s="305"/>
    </row>
    <row r="84" spans="1:89" ht="14.5" thickBot="1" x14ac:dyDescent="0.3">
      <c r="A84" s="48">
        <v>3125405</v>
      </c>
      <c r="B84" s="135">
        <v>5405</v>
      </c>
      <c r="C84" s="98" t="s">
        <v>138</v>
      </c>
      <c r="D84" s="136">
        <v>883</v>
      </c>
      <c r="E84" s="136">
        <v>0</v>
      </c>
      <c r="F84" s="136">
        <v>883</v>
      </c>
      <c r="G84" s="136">
        <v>535</v>
      </c>
      <c r="H84" s="136">
        <v>348</v>
      </c>
      <c r="I84" s="136">
        <v>0</v>
      </c>
      <c r="J84" s="136">
        <v>203.85047846889952</v>
      </c>
      <c r="K84" s="136">
        <v>0</v>
      </c>
      <c r="L84" s="136">
        <v>0</v>
      </c>
      <c r="M84" s="136">
        <v>0</v>
      </c>
      <c r="N84" s="136">
        <v>0</v>
      </c>
      <c r="O84" s="136">
        <v>0</v>
      </c>
      <c r="P84" s="136">
        <v>0</v>
      </c>
      <c r="Q84" s="136">
        <v>183.99999999999966</v>
      </c>
      <c r="R84" s="136">
        <v>20.000000000000032</v>
      </c>
      <c r="S84" s="136">
        <v>62.999999999999972</v>
      </c>
      <c r="T84" s="136">
        <v>6.0000000000000009</v>
      </c>
      <c r="U84" s="136">
        <v>0</v>
      </c>
      <c r="V84" s="136">
        <v>0</v>
      </c>
      <c r="W84" s="136">
        <v>0</v>
      </c>
      <c r="X84" s="136">
        <v>48.999999999999979</v>
      </c>
      <c r="Y84" s="136">
        <v>0</v>
      </c>
      <c r="Z84" s="136">
        <v>198.1450735862968</v>
      </c>
      <c r="AA84" s="136">
        <v>0</v>
      </c>
      <c r="AB84" s="136">
        <v>0</v>
      </c>
      <c r="AC84" s="226">
        <f t="shared" si="68"/>
        <v>0</v>
      </c>
      <c r="AD84" s="226">
        <f t="shared" si="70"/>
        <v>2599685.4222769686</v>
      </c>
      <c r="AE84" s="226">
        <f t="shared" si="71"/>
        <v>1932582.0296964888</v>
      </c>
      <c r="AF84" s="226">
        <f t="shared" si="72"/>
        <v>0</v>
      </c>
      <c r="AG84" s="226">
        <f t="shared" si="73"/>
        <v>294386.5914712919</v>
      </c>
      <c r="AH84" s="118">
        <f t="shared" si="74"/>
        <v>0</v>
      </c>
      <c r="AI84" s="118">
        <f t="shared" si="75"/>
        <v>0</v>
      </c>
      <c r="AJ84" s="118">
        <f t="shared" si="76"/>
        <v>0</v>
      </c>
      <c r="AK84" s="118">
        <f t="shared" si="77"/>
        <v>0</v>
      </c>
      <c r="AL84" s="118">
        <f t="shared" si="78"/>
        <v>0</v>
      </c>
      <c r="AM84" s="118">
        <f t="shared" si="79"/>
        <v>0</v>
      </c>
      <c r="AN84" s="118">
        <f t="shared" si="80"/>
        <v>25176.719999999954</v>
      </c>
      <c r="AO84" s="118">
        <f t="shared" si="81"/>
        <v>5473.0000000000091</v>
      </c>
      <c r="AP84" s="118">
        <f t="shared" si="82"/>
        <v>25860.239999999991</v>
      </c>
      <c r="AQ84" s="118">
        <f t="shared" si="83"/>
        <v>3283.8</v>
      </c>
      <c r="AR84" s="118">
        <f t="shared" si="84"/>
        <v>0</v>
      </c>
      <c r="AS84" s="118">
        <f t="shared" si="85"/>
        <v>0</v>
      </c>
      <c r="AT84" s="118">
        <f t="shared" si="86"/>
        <v>0</v>
      </c>
      <c r="AU84" s="118">
        <f t="shared" si="87"/>
        <v>58452.099999999977</v>
      </c>
      <c r="AV84" s="118">
        <f t="shared" si="88"/>
        <v>0</v>
      </c>
      <c r="AW84" s="118">
        <f t="shared" si="89"/>
        <v>350201.60305642098</v>
      </c>
      <c r="AX84" s="118">
        <f t="shared" si="90"/>
        <v>0</v>
      </c>
      <c r="AY84" s="118">
        <f t="shared" si="91"/>
        <v>0</v>
      </c>
      <c r="AZ84" s="118">
        <v>140000</v>
      </c>
      <c r="BA84" s="118">
        <v>56348</v>
      </c>
      <c r="BB84" s="118">
        <v>7848</v>
      </c>
      <c r="BC84" s="118"/>
      <c r="BD84" s="118"/>
      <c r="BE84" s="118"/>
      <c r="BF84" s="276">
        <f t="shared" si="96"/>
        <v>4532267.4519734569</v>
      </c>
      <c r="BG84" s="276">
        <f t="shared" si="69"/>
        <v>762834.05452771275</v>
      </c>
      <c r="BH84" s="276">
        <f t="shared" ref="BH84:BH93" si="97">SUM(AZ84:BE84)</f>
        <v>204196</v>
      </c>
      <c r="BI84" s="276">
        <f t="shared" si="67"/>
        <v>350201.60305642098</v>
      </c>
      <c r="BJ84" s="276">
        <f t="shared" si="93"/>
        <v>5499297.5065011699</v>
      </c>
      <c r="BK84" s="276">
        <v>5295101.51</v>
      </c>
      <c r="BL84" s="119">
        <v>5996.7174500000001</v>
      </c>
      <c r="BM84" s="119">
        <v>6098.1940699999996</v>
      </c>
      <c r="BN84" s="228">
        <v>-1.6640438082265924E-2</v>
      </c>
      <c r="BO84" s="228">
        <v>2.1640438082265925E-2</v>
      </c>
      <c r="BP84" s="119">
        <v>116527.38</v>
      </c>
      <c r="BQ84" s="281">
        <f t="shared" si="94"/>
        <v>5615824.8865011698</v>
      </c>
      <c r="BR84" s="119">
        <v>0</v>
      </c>
      <c r="BS84" s="119">
        <v>0</v>
      </c>
      <c r="BT84" s="120">
        <f t="shared" si="95"/>
        <v>5615824.8865011698</v>
      </c>
      <c r="BU84" s="229"/>
      <c r="BV84" s="302"/>
      <c r="BW84" s="303"/>
      <c r="BX84" s="303"/>
      <c r="BY84" s="99">
        <v>48943</v>
      </c>
      <c r="BZ84" s="107">
        <v>109000</v>
      </c>
      <c r="CB84" s="302"/>
      <c r="CC84" s="303"/>
      <c r="CD84" s="303"/>
      <c r="CE84" s="303"/>
      <c r="CF84" s="303"/>
      <c r="CG84" s="316"/>
      <c r="CH84" s="324"/>
      <c r="CI84" s="303"/>
      <c r="CJ84" s="303"/>
      <c r="CK84" s="305"/>
    </row>
    <row r="85" spans="1:89" ht="14.5" thickBot="1" x14ac:dyDescent="0.3">
      <c r="A85" s="48">
        <v>3125409</v>
      </c>
      <c r="B85" s="135">
        <v>5409</v>
      </c>
      <c r="C85" s="98" t="s">
        <v>143</v>
      </c>
      <c r="D85" s="136">
        <v>954</v>
      </c>
      <c r="E85" s="136">
        <v>0</v>
      </c>
      <c r="F85" s="136">
        <v>954</v>
      </c>
      <c r="G85" s="136">
        <v>662</v>
      </c>
      <c r="H85" s="136">
        <v>292</v>
      </c>
      <c r="I85" s="136">
        <v>0</v>
      </c>
      <c r="J85" s="136">
        <v>387.5625</v>
      </c>
      <c r="K85" s="136">
        <v>0</v>
      </c>
      <c r="L85" s="136">
        <v>0</v>
      </c>
      <c r="M85" s="136">
        <v>0</v>
      </c>
      <c r="N85" s="136">
        <v>0</v>
      </c>
      <c r="O85" s="136">
        <v>0</v>
      </c>
      <c r="P85" s="136">
        <v>0</v>
      </c>
      <c r="Q85" s="136">
        <v>243.0189473684209</v>
      </c>
      <c r="R85" s="136">
        <v>294.23368421052635</v>
      </c>
      <c r="S85" s="136">
        <v>38.160000000000004</v>
      </c>
      <c r="T85" s="136">
        <v>25.105263157894726</v>
      </c>
      <c r="U85" s="136">
        <v>13.054736842105273</v>
      </c>
      <c r="V85" s="136">
        <v>0</v>
      </c>
      <c r="W85" s="136">
        <v>0</v>
      </c>
      <c r="X85" s="136">
        <v>36.000000000000028</v>
      </c>
      <c r="Y85" s="136">
        <v>0</v>
      </c>
      <c r="Z85" s="136">
        <v>266.8464989963735</v>
      </c>
      <c r="AA85" s="136">
        <v>0</v>
      </c>
      <c r="AB85" s="136">
        <v>0</v>
      </c>
      <c r="AC85" s="226">
        <f t="shared" si="68"/>
        <v>0</v>
      </c>
      <c r="AD85" s="226">
        <f t="shared" si="70"/>
        <v>3216807.0084997257</v>
      </c>
      <c r="AE85" s="226">
        <f t="shared" si="71"/>
        <v>1621591.8180211917</v>
      </c>
      <c r="AF85" s="226">
        <f t="shared" si="72"/>
        <v>0</v>
      </c>
      <c r="AG85" s="226">
        <f t="shared" si="73"/>
        <v>559690.63312500005</v>
      </c>
      <c r="AH85" s="118">
        <f t="shared" si="74"/>
        <v>0</v>
      </c>
      <c r="AI85" s="118">
        <f t="shared" si="75"/>
        <v>0</v>
      </c>
      <c r="AJ85" s="118">
        <f t="shared" si="76"/>
        <v>0</v>
      </c>
      <c r="AK85" s="118">
        <f t="shared" si="77"/>
        <v>0</v>
      </c>
      <c r="AL85" s="118">
        <f t="shared" si="78"/>
        <v>0</v>
      </c>
      <c r="AM85" s="118">
        <f t="shared" si="79"/>
        <v>0</v>
      </c>
      <c r="AN85" s="118">
        <f t="shared" si="80"/>
        <v>33252.282568421033</v>
      </c>
      <c r="AO85" s="118">
        <f t="shared" si="81"/>
        <v>80517.047684210542</v>
      </c>
      <c r="AP85" s="118">
        <f t="shared" si="82"/>
        <v>15663.916800000003</v>
      </c>
      <c r="AQ85" s="118">
        <f t="shared" si="83"/>
        <v>13740.110526315782</v>
      </c>
      <c r="AR85" s="118">
        <f t="shared" si="84"/>
        <v>8931.0065684210585</v>
      </c>
      <c r="AS85" s="118">
        <f t="shared" si="85"/>
        <v>0</v>
      </c>
      <c r="AT85" s="118">
        <f t="shared" si="86"/>
        <v>0</v>
      </c>
      <c r="AU85" s="118">
        <f t="shared" si="87"/>
        <v>42944.400000000038</v>
      </c>
      <c r="AV85" s="118">
        <f t="shared" si="88"/>
        <v>0</v>
      </c>
      <c r="AW85" s="118">
        <f t="shared" si="89"/>
        <v>471624.50232619053</v>
      </c>
      <c r="AX85" s="118">
        <f t="shared" si="90"/>
        <v>0</v>
      </c>
      <c r="AY85" s="118">
        <f t="shared" si="91"/>
        <v>0</v>
      </c>
      <c r="AZ85" s="118">
        <v>140000</v>
      </c>
      <c r="BA85" s="118">
        <v>72352</v>
      </c>
      <c r="BB85" s="118">
        <v>2584</v>
      </c>
      <c r="BC85" s="118"/>
      <c r="BD85" s="118"/>
      <c r="BE85" s="118"/>
      <c r="BF85" s="276">
        <f t="shared" si="96"/>
        <v>4838398.8265209179</v>
      </c>
      <c r="BG85" s="276">
        <f t="shared" si="69"/>
        <v>1226363.8995985589</v>
      </c>
      <c r="BH85" s="276">
        <f t="shared" si="97"/>
        <v>214936</v>
      </c>
      <c r="BI85" s="276">
        <f t="shared" si="67"/>
        <v>471624.50232619053</v>
      </c>
      <c r="BJ85" s="276">
        <f t="shared" si="93"/>
        <v>6279698.7261194773</v>
      </c>
      <c r="BK85" s="276">
        <v>6064762.7300000004</v>
      </c>
      <c r="BL85" s="119">
        <v>6357.1936299999998</v>
      </c>
      <c r="BM85" s="119">
        <v>6181.3992799999996</v>
      </c>
      <c r="BN85" s="228">
        <v>2.8439249244941248E-2</v>
      </c>
      <c r="BO85" s="228">
        <v>0</v>
      </c>
      <c r="BP85" s="119">
        <v>0</v>
      </c>
      <c r="BQ85" s="281">
        <f t="shared" si="94"/>
        <v>6279698.7261194773</v>
      </c>
      <c r="BR85" s="119">
        <v>-2089.2599999999998</v>
      </c>
      <c r="BS85" s="119">
        <v>-1211.58</v>
      </c>
      <c r="BT85" s="120">
        <f t="shared" si="95"/>
        <v>6276397.8861194775</v>
      </c>
      <c r="BU85" s="229"/>
      <c r="BV85" s="302"/>
      <c r="BW85" s="303"/>
      <c r="BX85" s="368">
        <v>74981</v>
      </c>
      <c r="BY85" s="99"/>
      <c r="BZ85" s="107">
        <v>325900</v>
      </c>
      <c r="CA85" s="273"/>
      <c r="CB85" s="314">
        <f>$J85*955</f>
        <v>370122.1875</v>
      </c>
      <c r="CC85" s="315">
        <v>930</v>
      </c>
      <c r="CD85" s="315">
        <v>0</v>
      </c>
      <c r="CE85" s="315"/>
      <c r="CF85" s="315"/>
      <c r="CG85" s="316"/>
      <c r="CH85" s="324"/>
      <c r="CI85" s="315"/>
      <c r="CJ85" s="315">
        <v>133659</v>
      </c>
      <c r="CK85" s="347">
        <v>228549</v>
      </c>
    </row>
    <row r="86" spans="1:89" ht="14.5" thickBot="1" x14ac:dyDescent="0.3">
      <c r="A86" s="48">
        <v>3124021</v>
      </c>
      <c r="B86" s="135">
        <v>4021</v>
      </c>
      <c r="C86" s="98" t="s">
        <v>145</v>
      </c>
      <c r="D86" s="136">
        <v>720</v>
      </c>
      <c r="E86" s="136">
        <v>0</v>
      </c>
      <c r="F86" s="136">
        <v>720</v>
      </c>
      <c r="G86" s="136">
        <v>471</v>
      </c>
      <c r="H86" s="136">
        <v>249</v>
      </c>
      <c r="I86" s="136">
        <v>0</v>
      </c>
      <c r="J86" s="136">
        <v>336.80672268907563</v>
      </c>
      <c r="K86" s="136">
        <v>0</v>
      </c>
      <c r="L86" s="136">
        <v>0</v>
      </c>
      <c r="M86" s="136">
        <v>0</v>
      </c>
      <c r="N86" s="136">
        <v>0</v>
      </c>
      <c r="O86" s="136">
        <v>0</v>
      </c>
      <c r="P86" s="136">
        <v>0</v>
      </c>
      <c r="Q86" s="136">
        <v>204.99999999999983</v>
      </c>
      <c r="R86" s="136">
        <v>261</v>
      </c>
      <c r="S86" s="136">
        <v>83.000000000000171</v>
      </c>
      <c r="T86" s="136">
        <v>27</v>
      </c>
      <c r="U86" s="136">
        <v>1.0000000000000009</v>
      </c>
      <c r="V86" s="136">
        <v>0</v>
      </c>
      <c r="W86" s="136">
        <v>0</v>
      </c>
      <c r="X86" s="136">
        <v>53.073713490959662</v>
      </c>
      <c r="Y86" s="136">
        <v>0</v>
      </c>
      <c r="Z86" s="136">
        <v>201.26077588962582</v>
      </c>
      <c r="AA86" s="136">
        <v>0</v>
      </c>
      <c r="AB86" s="136">
        <v>0</v>
      </c>
      <c r="AC86" s="226">
        <f t="shared" si="68"/>
        <v>0</v>
      </c>
      <c r="AD86" s="226">
        <f t="shared" si="70"/>
        <v>2288695.0166214057</v>
      </c>
      <c r="AE86" s="226">
        <f t="shared" si="71"/>
        <v>1382795.7626276601</v>
      </c>
      <c r="AF86" s="226">
        <f t="shared" si="72"/>
        <v>0</v>
      </c>
      <c r="AG86" s="226">
        <f t="shared" si="73"/>
        <v>486392.69243697484</v>
      </c>
      <c r="AH86" s="118">
        <f t="shared" si="74"/>
        <v>0</v>
      </c>
      <c r="AI86" s="118">
        <f t="shared" si="75"/>
        <v>0</v>
      </c>
      <c r="AJ86" s="118">
        <f t="shared" si="76"/>
        <v>0</v>
      </c>
      <c r="AK86" s="118">
        <f t="shared" si="77"/>
        <v>0</v>
      </c>
      <c r="AL86" s="118">
        <f t="shared" si="78"/>
        <v>0</v>
      </c>
      <c r="AM86" s="118">
        <f t="shared" si="79"/>
        <v>0</v>
      </c>
      <c r="AN86" s="118">
        <f t="shared" si="80"/>
        <v>28050.14999999998</v>
      </c>
      <c r="AO86" s="118">
        <f t="shared" si="81"/>
        <v>71422.650000000009</v>
      </c>
      <c r="AP86" s="118">
        <f t="shared" si="82"/>
        <v>34069.840000000069</v>
      </c>
      <c r="AQ86" s="118">
        <f t="shared" si="83"/>
        <v>14777.099999999999</v>
      </c>
      <c r="AR86" s="118">
        <f t="shared" si="84"/>
        <v>684.12000000000057</v>
      </c>
      <c r="AS86" s="118">
        <f t="shared" si="85"/>
        <v>0</v>
      </c>
      <c r="AT86" s="118">
        <f t="shared" si="86"/>
        <v>0</v>
      </c>
      <c r="AU86" s="118">
        <f t="shared" si="87"/>
        <v>63311.632823365784</v>
      </c>
      <c r="AV86" s="118">
        <f t="shared" si="88"/>
        <v>0</v>
      </c>
      <c r="AW86" s="118">
        <f t="shared" si="89"/>
        <v>355708.29530732468</v>
      </c>
      <c r="AX86" s="118">
        <f t="shared" si="90"/>
        <v>0</v>
      </c>
      <c r="AY86" s="118">
        <f t="shared" si="91"/>
        <v>0</v>
      </c>
      <c r="AZ86" s="118">
        <v>140000</v>
      </c>
      <c r="BA86" s="118">
        <v>46655</v>
      </c>
      <c r="BB86" s="118">
        <v>8655</v>
      </c>
      <c r="BC86" s="118"/>
      <c r="BD86" s="118"/>
      <c r="BE86" s="118"/>
      <c r="BF86" s="276">
        <f t="shared" si="96"/>
        <v>3671490.7792490656</v>
      </c>
      <c r="BG86" s="276">
        <f t="shared" si="69"/>
        <v>1054416.4805676653</v>
      </c>
      <c r="BH86" s="276">
        <f t="shared" si="97"/>
        <v>195310</v>
      </c>
      <c r="BI86" s="276">
        <f t="shared" si="67"/>
        <v>355708.29530732468</v>
      </c>
      <c r="BJ86" s="276">
        <f t="shared" si="93"/>
        <v>4921217.2598167304</v>
      </c>
      <c r="BK86" s="276">
        <v>4725907.26</v>
      </c>
      <c r="BL86" s="119">
        <v>6563.76008</v>
      </c>
      <c r="BM86" s="119">
        <v>6353.1616999999997</v>
      </c>
      <c r="BN86" s="228">
        <v>3.3148595402785273E-2</v>
      </c>
      <c r="BO86" s="228">
        <v>0</v>
      </c>
      <c r="BP86" s="119">
        <v>0</v>
      </c>
      <c r="BQ86" s="281">
        <f t="shared" si="94"/>
        <v>4921217.2598167304</v>
      </c>
      <c r="BR86" s="119">
        <v>0</v>
      </c>
      <c r="BS86" s="119">
        <v>0</v>
      </c>
      <c r="BT86" s="120">
        <f t="shared" si="95"/>
        <v>4921217.2598167304</v>
      </c>
      <c r="BU86" s="229"/>
      <c r="BV86" s="302"/>
      <c r="BW86" s="303"/>
      <c r="BX86" s="99"/>
      <c r="BY86" s="99"/>
      <c r="BZ86" s="107">
        <v>96500</v>
      </c>
      <c r="CB86" s="302"/>
      <c r="CC86" s="303"/>
      <c r="CD86" s="303"/>
      <c r="CE86" s="303"/>
      <c r="CF86" s="303"/>
      <c r="CG86" s="303"/>
      <c r="CH86" s="323"/>
      <c r="CI86" s="303"/>
      <c r="CJ86" s="303"/>
      <c r="CK86" s="305"/>
    </row>
    <row r="87" spans="1:89" ht="14.5" thickBot="1" x14ac:dyDescent="0.3">
      <c r="A87" s="48">
        <v>3124000</v>
      </c>
      <c r="B87" s="135">
        <v>4000</v>
      </c>
      <c r="C87" s="98" t="s">
        <v>147</v>
      </c>
      <c r="D87" s="136">
        <v>71</v>
      </c>
      <c r="E87" s="136">
        <v>0</v>
      </c>
      <c r="F87" s="136">
        <v>71</v>
      </c>
      <c r="G87" s="136">
        <v>8</v>
      </c>
      <c r="H87" s="136">
        <v>63</v>
      </c>
      <c r="I87" s="136">
        <v>0</v>
      </c>
      <c r="J87" s="136">
        <v>26.157894736842103</v>
      </c>
      <c r="K87" s="136">
        <v>0</v>
      </c>
      <c r="L87" s="136">
        <v>0</v>
      </c>
      <c r="M87" s="136">
        <v>0</v>
      </c>
      <c r="N87" s="136">
        <v>0</v>
      </c>
      <c r="O87" s="136">
        <v>0</v>
      </c>
      <c r="P87" s="136">
        <v>0</v>
      </c>
      <c r="Q87" s="136">
        <v>21.999999999999968</v>
      </c>
      <c r="R87" s="136">
        <v>19.000000000000007</v>
      </c>
      <c r="S87" s="136">
        <v>3.0000000000000022</v>
      </c>
      <c r="T87" s="136">
        <v>0.99999999999999856</v>
      </c>
      <c r="U87" s="136">
        <v>0</v>
      </c>
      <c r="V87" s="136">
        <v>0</v>
      </c>
      <c r="W87" s="136">
        <v>0</v>
      </c>
      <c r="X87" s="136">
        <v>25</v>
      </c>
      <c r="Y87" s="136">
        <v>0</v>
      </c>
      <c r="Z87" s="136">
        <v>25.791804507333342</v>
      </c>
      <c r="AA87" s="136">
        <v>0</v>
      </c>
      <c r="AB87" s="136">
        <v>0</v>
      </c>
      <c r="AC87" s="226">
        <f t="shared" si="68"/>
        <v>0</v>
      </c>
      <c r="AD87" s="226">
        <f t="shared" si="70"/>
        <v>38873.800706945323</v>
      </c>
      <c r="AE87" s="226">
        <f t="shared" si="71"/>
        <v>349863.98813470919</v>
      </c>
      <c r="AF87" s="226">
        <f t="shared" si="72"/>
        <v>0</v>
      </c>
      <c r="AG87" s="226">
        <f t="shared" si="73"/>
        <v>37775.400526315789</v>
      </c>
      <c r="AH87" s="118">
        <f t="shared" si="74"/>
        <v>0</v>
      </c>
      <c r="AI87" s="118">
        <f t="shared" si="75"/>
        <v>0</v>
      </c>
      <c r="AJ87" s="118">
        <f t="shared" si="76"/>
        <v>0</v>
      </c>
      <c r="AK87" s="118">
        <f t="shared" si="77"/>
        <v>0</v>
      </c>
      <c r="AL87" s="118">
        <f t="shared" si="78"/>
        <v>0</v>
      </c>
      <c r="AM87" s="118">
        <f t="shared" si="79"/>
        <v>0</v>
      </c>
      <c r="AN87" s="118">
        <f t="shared" si="80"/>
        <v>3010.2599999999961</v>
      </c>
      <c r="AO87" s="118">
        <f t="shared" si="81"/>
        <v>5199.3500000000022</v>
      </c>
      <c r="AP87" s="118">
        <f t="shared" si="82"/>
        <v>1231.440000000001</v>
      </c>
      <c r="AQ87" s="118">
        <f t="shared" si="83"/>
        <v>547.29999999999916</v>
      </c>
      <c r="AR87" s="118">
        <f t="shared" si="84"/>
        <v>0</v>
      </c>
      <c r="AS87" s="118">
        <f t="shared" si="85"/>
        <v>0</v>
      </c>
      <c r="AT87" s="118">
        <f t="shared" si="86"/>
        <v>0</v>
      </c>
      <c r="AU87" s="118">
        <f t="shared" si="87"/>
        <v>29822.500000000004</v>
      </c>
      <c r="AV87" s="118">
        <f t="shared" si="88"/>
        <v>0</v>
      </c>
      <c r="AW87" s="118">
        <f t="shared" si="89"/>
        <v>45584.435286260952</v>
      </c>
      <c r="AX87" s="118">
        <f t="shared" si="90"/>
        <v>0</v>
      </c>
      <c r="AY87" s="118">
        <f t="shared" si="91"/>
        <v>0</v>
      </c>
      <c r="AZ87" s="118">
        <v>140000</v>
      </c>
      <c r="BA87" s="118">
        <v>0</v>
      </c>
      <c r="BB87" s="118">
        <v>0</v>
      </c>
      <c r="BC87" s="118"/>
      <c r="BD87" s="118"/>
      <c r="BE87" s="118"/>
      <c r="BF87" s="276">
        <f t="shared" si="96"/>
        <v>388737.78884165449</v>
      </c>
      <c r="BG87" s="276">
        <f t="shared" si="69"/>
        <v>123170.68581257675</v>
      </c>
      <c r="BH87" s="276">
        <f t="shared" si="97"/>
        <v>140000</v>
      </c>
      <c r="BI87" s="276">
        <f t="shared" si="67"/>
        <v>45584.435286260952</v>
      </c>
      <c r="BJ87" s="276">
        <f t="shared" si="93"/>
        <v>651908.47465423122</v>
      </c>
      <c r="BK87" s="276">
        <v>511908.47</v>
      </c>
      <c r="BL87" s="119">
        <v>7209.9785199999997</v>
      </c>
      <c r="BM87" s="119">
        <v>7505.3346300000003</v>
      </c>
      <c r="BN87" s="228">
        <v>-3.935282375514685E-2</v>
      </c>
      <c r="BO87" s="228">
        <v>4.4352823755146847E-2</v>
      </c>
      <c r="BP87" s="119">
        <v>23634.68</v>
      </c>
      <c r="BQ87" s="281">
        <f t="shared" si="94"/>
        <v>675543.15465423127</v>
      </c>
      <c r="BR87" s="119">
        <v>0</v>
      </c>
      <c r="BS87" s="119">
        <v>0</v>
      </c>
      <c r="BT87" s="120">
        <f t="shared" si="95"/>
        <v>675543.15465423127</v>
      </c>
      <c r="BU87" s="229"/>
      <c r="BV87" s="302"/>
      <c r="BW87" s="303"/>
      <c r="BX87" s="99"/>
      <c r="BY87" s="99"/>
      <c r="BZ87" s="107">
        <v>8500</v>
      </c>
      <c r="CB87" s="302"/>
      <c r="CC87" s="303"/>
      <c r="CD87" s="303"/>
      <c r="CE87" s="303"/>
      <c r="CF87" s="303"/>
      <c r="CG87" s="303"/>
      <c r="CH87" s="323"/>
      <c r="CI87" s="303"/>
      <c r="CJ87" s="303"/>
      <c r="CK87" s="305"/>
    </row>
    <row r="88" spans="1:89" ht="14.5" thickBot="1" x14ac:dyDescent="0.3">
      <c r="A88" s="48">
        <v>3125403</v>
      </c>
      <c r="B88" s="135">
        <v>5403</v>
      </c>
      <c r="C88" s="98" t="s">
        <v>151</v>
      </c>
      <c r="D88" s="136">
        <v>1202</v>
      </c>
      <c r="E88" s="136">
        <v>0</v>
      </c>
      <c r="F88" s="136">
        <v>1202</v>
      </c>
      <c r="G88" s="136">
        <v>720</v>
      </c>
      <c r="H88" s="136">
        <v>482</v>
      </c>
      <c r="I88" s="136">
        <v>0</v>
      </c>
      <c r="J88" s="136">
        <v>293.48833333333334</v>
      </c>
      <c r="K88" s="136">
        <v>0</v>
      </c>
      <c r="L88" s="136">
        <v>0</v>
      </c>
      <c r="M88" s="136">
        <v>0</v>
      </c>
      <c r="N88" s="136">
        <v>0</v>
      </c>
      <c r="O88" s="136">
        <v>0</v>
      </c>
      <c r="P88" s="136">
        <v>0</v>
      </c>
      <c r="Q88" s="136">
        <v>305.99999999999989</v>
      </c>
      <c r="R88" s="136">
        <v>48.000000000000014</v>
      </c>
      <c r="S88" s="136">
        <v>25.999999999999996</v>
      </c>
      <c r="T88" s="136">
        <v>57.999999999999964</v>
      </c>
      <c r="U88" s="136">
        <v>1.0000000000000002</v>
      </c>
      <c r="V88" s="136">
        <v>0</v>
      </c>
      <c r="W88" s="136">
        <v>0</v>
      </c>
      <c r="X88" s="136">
        <v>21.123012552301287</v>
      </c>
      <c r="Y88" s="136">
        <v>0</v>
      </c>
      <c r="Z88" s="136">
        <v>242.24509304171499</v>
      </c>
      <c r="AA88" s="136">
        <v>0</v>
      </c>
      <c r="AB88" s="136">
        <v>0</v>
      </c>
      <c r="AC88" s="226">
        <f t="shared" si="68"/>
        <v>0</v>
      </c>
      <c r="AD88" s="226">
        <f t="shared" si="70"/>
        <v>3498642.0636250791</v>
      </c>
      <c r="AE88" s="226">
        <f t="shared" si="71"/>
        <v>2676737.1790623781</v>
      </c>
      <c r="AF88" s="226">
        <f t="shared" si="72"/>
        <v>0</v>
      </c>
      <c r="AG88" s="226">
        <f t="shared" si="73"/>
        <v>423835.30681666674</v>
      </c>
      <c r="AH88" s="118">
        <f t="shared" si="74"/>
        <v>0</v>
      </c>
      <c r="AI88" s="118">
        <f t="shared" si="75"/>
        <v>0</v>
      </c>
      <c r="AJ88" s="118">
        <f t="shared" si="76"/>
        <v>0</v>
      </c>
      <c r="AK88" s="118">
        <f t="shared" si="77"/>
        <v>0</v>
      </c>
      <c r="AL88" s="118">
        <f t="shared" si="78"/>
        <v>0</v>
      </c>
      <c r="AM88" s="118">
        <f t="shared" si="79"/>
        <v>0</v>
      </c>
      <c r="AN88" s="118">
        <f t="shared" si="80"/>
        <v>41869.979999999989</v>
      </c>
      <c r="AO88" s="118">
        <f t="shared" si="81"/>
        <v>13135.200000000006</v>
      </c>
      <c r="AP88" s="118">
        <f t="shared" si="82"/>
        <v>10672.48</v>
      </c>
      <c r="AQ88" s="118">
        <f t="shared" si="83"/>
        <v>31743.39999999998</v>
      </c>
      <c r="AR88" s="118">
        <f t="shared" si="84"/>
        <v>684.12000000000012</v>
      </c>
      <c r="AS88" s="118">
        <f t="shared" si="85"/>
        <v>0</v>
      </c>
      <c r="AT88" s="118">
        <f t="shared" si="86"/>
        <v>0</v>
      </c>
      <c r="AU88" s="118">
        <f t="shared" si="87"/>
        <v>25197.641673640206</v>
      </c>
      <c r="AV88" s="118">
        <f t="shared" si="88"/>
        <v>0</v>
      </c>
      <c r="AW88" s="118">
        <f t="shared" si="89"/>
        <v>428143.97744192713</v>
      </c>
      <c r="AX88" s="118">
        <f t="shared" si="90"/>
        <v>0</v>
      </c>
      <c r="AY88" s="118">
        <f t="shared" si="91"/>
        <v>0</v>
      </c>
      <c r="AZ88" s="118">
        <v>140000</v>
      </c>
      <c r="BA88" s="118">
        <v>39102</v>
      </c>
      <c r="BB88" s="118">
        <v>2352</v>
      </c>
      <c r="BC88" s="118"/>
      <c r="BD88" s="118"/>
      <c r="BE88" s="118"/>
      <c r="BF88" s="276">
        <f t="shared" si="96"/>
        <v>6175379.2426874572</v>
      </c>
      <c r="BG88" s="276">
        <f t="shared" si="69"/>
        <v>975282.10593223409</v>
      </c>
      <c r="BH88" s="276">
        <f t="shared" si="97"/>
        <v>181454</v>
      </c>
      <c r="BI88" s="276">
        <f t="shared" si="67"/>
        <v>428143.97744192713</v>
      </c>
      <c r="BJ88" s="276">
        <f t="shared" si="93"/>
        <v>7332115.3486196911</v>
      </c>
      <c r="BK88" s="276">
        <v>7150661.3499999996</v>
      </c>
      <c r="BL88" s="119">
        <v>5948.9695099999999</v>
      </c>
      <c r="BM88" s="119">
        <v>5808.4912999999997</v>
      </c>
      <c r="BN88" s="228">
        <v>2.4184972752642964E-2</v>
      </c>
      <c r="BO88" s="228">
        <v>0</v>
      </c>
      <c r="BP88" s="119">
        <v>0</v>
      </c>
      <c r="BQ88" s="281">
        <f t="shared" si="94"/>
        <v>7332115.3486196911</v>
      </c>
      <c r="BR88" s="119">
        <v>0</v>
      </c>
      <c r="BS88" s="119">
        <v>0</v>
      </c>
      <c r="BT88" s="120">
        <f t="shared" si="95"/>
        <v>7332115.3486196911</v>
      </c>
      <c r="BU88" s="229"/>
      <c r="BV88" s="302"/>
      <c r="BW88" s="303"/>
      <c r="BX88" s="99"/>
      <c r="BY88" s="99"/>
      <c r="BZ88" s="107">
        <v>97100</v>
      </c>
      <c r="CB88" s="302"/>
      <c r="CC88" s="303"/>
      <c r="CD88" s="303"/>
      <c r="CE88" s="303"/>
      <c r="CF88" s="303"/>
      <c r="CG88" s="303"/>
      <c r="CH88" s="323"/>
      <c r="CI88" s="303"/>
      <c r="CJ88" s="303"/>
      <c r="CK88" s="305"/>
    </row>
    <row r="89" spans="1:89" ht="14.5" thickBot="1" x14ac:dyDescent="0.3">
      <c r="A89" s="48">
        <v>3125406</v>
      </c>
      <c r="B89" s="135">
        <v>5406</v>
      </c>
      <c r="C89" s="98" t="s">
        <v>153</v>
      </c>
      <c r="D89" s="136">
        <v>739</v>
      </c>
      <c r="E89" s="136">
        <v>0</v>
      </c>
      <c r="F89" s="136">
        <v>739</v>
      </c>
      <c r="G89" s="136">
        <v>492</v>
      </c>
      <c r="H89" s="136">
        <v>247</v>
      </c>
      <c r="I89" s="136">
        <v>0</v>
      </c>
      <c r="J89" s="136">
        <v>255.21636615811374</v>
      </c>
      <c r="K89" s="136">
        <v>0</v>
      </c>
      <c r="L89" s="136">
        <v>0</v>
      </c>
      <c r="M89" s="136">
        <v>0</v>
      </c>
      <c r="N89" s="136">
        <v>0</v>
      </c>
      <c r="O89" s="136">
        <v>0</v>
      </c>
      <c r="P89" s="136">
        <v>0</v>
      </c>
      <c r="Q89" s="136">
        <v>189.25609756097577</v>
      </c>
      <c r="R89" s="136">
        <v>307.41598915989169</v>
      </c>
      <c r="S89" s="136">
        <v>16.021680216802153</v>
      </c>
      <c r="T89" s="136">
        <v>1.0013550135501346</v>
      </c>
      <c r="U89" s="136">
        <v>3.0040650406504037</v>
      </c>
      <c r="V89" s="136">
        <v>0</v>
      </c>
      <c r="W89" s="136">
        <v>0</v>
      </c>
      <c r="X89" s="136">
        <v>46.062330623306266</v>
      </c>
      <c r="Y89" s="136">
        <v>0</v>
      </c>
      <c r="Z89" s="136">
        <v>184.89408275288707</v>
      </c>
      <c r="AA89" s="136">
        <v>0</v>
      </c>
      <c r="AB89" s="136">
        <v>2.6599999999999842</v>
      </c>
      <c r="AC89" s="226">
        <f t="shared" si="68"/>
        <v>0</v>
      </c>
      <c r="AD89" s="226">
        <f t="shared" si="70"/>
        <v>2390738.7434771373</v>
      </c>
      <c r="AE89" s="226">
        <f t="shared" si="71"/>
        <v>1371688.9693535424</v>
      </c>
      <c r="AF89" s="226">
        <f t="shared" si="72"/>
        <v>0</v>
      </c>
      <c r="AG89" s="226">
        <f t="shared" si="73"/>
        <v>368565.61085991684</v>
      </c>
      <c r="AH89" s="118">
        <f t="shared" si="74"/>
        <v>0</v>
      </c>
      <c r="AI89" s="118">
        <f t="shared" si="75"/>
        <v>0</v>
      </c>
      <c r="AJ89" s="118">
        <f t="shared" si="76"/>
        <v>0</v>
      </c>
      <c r="AK89" s="118">
        <f t="shared" si="77"/>
        <v>0</v>
      </c>
      <c r="AL89" s="118">
        <f t="shared" si="78"/>
        <v>0</v>
      </c>
      <c r="AM89" s="118">
        <f t="shared" si="79"/>
        <v>0</v>
      </c>
      <c r="AN89" s="118">
        <f t="shared" si="80"/>
        <v>25895.911829268316</v>
      </c>
      <c r="AO89" s="118">
        <f t="shared" si="81"/>
        <v>84124.385433604373</v>
      </c>
      <c r="AP89" s="118">
        <f t="shared" si="82"/>
        <v>6576.5792953929476</v>
      </c>
      <c r="AQ89" s="118">
        <f t="shared" si="83"/>
        <v>548.04159891598863</v>
      </c>
      <c r="AR89" s="118">
        <f t="shared" si="84"/>
        <v>2055.1409756097542</v>
      </c>
      <c r="AS89" s="118">
        <f t="shared" si="85"/>
        <v>0</v>
      </c>
      <c r="AT89" s="118">
        <f t="shared" si="86"/>
        <v>0</v>
      </c>
      <c r="AU89" s="118">
        <f t="shared" si="87"/>
        <v>54947.754200542047</v>
      </c>
      <c r="AV89" s="118">
        <f t="shared" si="88"/>
        <v>0</v>
      </c>
      <c r="AW89" s="118">
        <f t="shared" si="89"/>
        <v>326781.80185745261</v>
      </c>
      <c r="AX89" s="118">
        <f t="shared" si="90"/>
        <v>0</v>
      </c>
      <c r="AY89" s="118">
        <f t="shared" si="91"/>
        <v>3771.0819999999776</v>
      </c>
      <c r="AZ89" s="118">
        <v>140000</v>
      </c>
      <c r="BA89" s="118">
        <v>33351</v>
      </c>
      <c r="BB89" s="118">
        <v>5351</v>
      </c>
      <c r="BC89" s="118"/>
      <c r="BD89" s="118"/>
      <c r="BE89" s="118"/>
      <c r="BF89" s="276">
        <f t="shared" si="96"/>
        <v>3762427.7128306795</v>
      </c>
      <c r="BG89" s="276">
        <f t="shared" si="69"/>
        <v>873266.30805070279</v>
      </c>
      <c r="BH89" s="276">
        <f t="shared" si="97"/>
        <v>178702</v>
      </c>
      <c r="BI89" s="276">
        <f t="shared" si="67"/>
        <v>326781.80185745261</v>
      </c>
      <c r="BJ89" s="276">
        <f t="shared" si="93"/>
        <v>4814396.0208813827</v>
      </c>
      <c r="BK89" s="276">
        <v>4635694.0199999996</v>
      </c>
      <c r="BL89" s="119">
        <v>6272.9283100000002</v>
      </c>
      <c r="BM89" s="119">
        <v>6577.9115499999998</v>
      </c>
      <c r="BN89" s="228">
        <v>-4.6364752474297173E-2</v>
      </c>
      <c r="BO89" s="228">
        <v>5.1364752474297171E-2</v>
      </c>
      <c r="BP89" s="119">
        <v>249688</v>
      </c>
      <c r="BQ89" s="281">
        <f t="shared" si="94"/>
        <v>5064084.0208813827</v>
      </c>
      <c r="BR89" s="119">
        <v>0</v>
      </c>
      <c r="BS89" s="119">
        <v>0</v>
      </c>
      <c r="BT89" s="120">
        <f t="shared" si="95"/>
        <v>5064084.0208813827</v>
      </c>
      <c r="BU89" s="229"/>
      <c r="BV89" s="302"/>
      <c r="BW89" s="303"/>
      <c r="BX89" s="99"/>
      <c r="BY89" s="99"/>
      <c r="BZ89" s="107">
        <v>106000</v>
      </c>
      <c r="CB89" s="302"/>
      <c r="CC89" s="303"/>
      <c r="CD89" s="303"/>
      <c r="CE89" s="303"/>
      <c r="CF89" s="303"/>
      <c r="CG89" s="303"/>
      <c r="CH89" s="323"/>
      <c r="CI89" s="303"/>
      <c r="CJ89" s="303"/>
      <c r="CK89" s="305"/>
    </row>
    <row r="90" spans="1:89" ht="14.5" thickBot="1" x14ac:dyDescent="0.3">
      <c r="A90" s="48">
        <v>3124023</v>
      </c>
      <c r="B90" s="135">
        <v>4023</v>
      </c>
      <c r="C90" s="98" t="s">
        <v>161</v>
      </c>
      <c r="D90" s="136">
        <v>950</v>
      </c>
      <c r="E90" s="136">
        <v>0</v>
      </c>
      <c r="F90" s="136">
        <v>950</v>
      </c>
      <c r="G90" s="136">
        <v>594</v>
      </c>
      <c r="H90" s="136">
        <v>356</v>
      </c>
      <c r="I90" s="136">
        <v>0</v>
      </c>
      <c r="J90" s="136">
        <v>205.02136752136752</v>
      </c>
      <c r="K90" s="136">
        <v>0</v>
      </c>
      <c r="L90" s="136">
        <v>0</v>
      </c>
      <c r="M90" s="136">
        <v>0</v>
      </c>
      <c r="N90" s="136">
        <v>0</v>
      </c>
      <c r="O90" s="136">
        <v>0</v>
      </c>
      <c r="P90" s="136">
        <v>0</v>
      </c>
      <c r="Q90" s="136">
        <v>71.149789029535881</v>
      </c>
      <c r="R90" s="136">
        <v>23.048523206751032</v>
      </c>
      <c r="S90" s="136">
        <v>7.0147679324894527</v>
      </c>
      <c r="T90" s="136">
        <v>3.0063291139240538</v>
      </c>
      <c r="U90" s="136">
        <v>2.0042194092826993</v>
      </c>
      <c r="V90" s="136">
        <v>0</v>
      </c>
      <c r="W90" s="136">
        <v>0</v>
      </c>
      <c r="X90" s="136">
        <v>17.000000000000036</v>
      </c>
      <c r="Y90" s="136">
        <v>0</v>
      </c>
      <c r="Z90" s="136">
        <v>200.05048741029708</v>
      </c>
      <c r="AA90" s="136">
        <v>0</v>
      </c>
      <c r="AB90" s="136">
        <v>0</v>
      </c>
      <c r="AC90" s="226">
        <f t="shared" si="68"/>
        <v>0</v>
      </c>
      <c r="AD90" s="226">
        <f t="shared" si="70"/>
        <v>2886379.7024906902</v>
      </c>
      <c r="AE90" s="226">
        <f t="shared" si="71"/>
        <v>1977009.2027929598</v>
      </c>
      <c r="AF90" s="226">
        <f t="shared" si="72"/>
        <v>0</v>
      </c>
      <c r="AG90" s="226">
        <f t="shared" si="73"/>
        <v>296077.5074786325</v>
      </c>
      <c r="AH90" s="118">
        <f t="shared" si="74"/>
        <v>0</v>
      </c>
      <c r="AI90" s="118">
        <f t="shared" si="75"/>
        <v>0</v>
      </c>
      <c r="AJ90" s="118">
        <f t="shared" si="76"/>
        <v>0</v>
      </c>
      <c r="AK90" s="118">
        <f t="shared" si="77"/>
        <v>0</v>
      </c>
      <c r="AL90" s="118">
        <f t="shared" si="78"/>
        <v>0</v>
      </c>
      <c r="AM90" s="118">
        <f t="shared" si="79"/>
        <v>0</v>
      </c>
      <c r="AN90" s="118">
        <f t="shared" si="80"/>
        <v>9735.425632911396</v>
      </c>
      <c r="AO90" s="118">
        <f t="shared" si="81"/>
        <v>6307.2283755274202</v>
      </c>
      <c r="AP90" s="118">
        <f t="shared" si="82"/>
        <v>2879.4219409282705</v>
      </c>
      <c r="AQ90" s="118">
        <f t="shared" si="83"/>
        <v>1645.3639240506345</v>
      </c>
      <c r="AR90" s="118">
        <f t="shared" si="84"/>
        <v>1371.1265822784803</v>
      </c>
      <c r="AS90" s="118">
        <f t="shared" si="85"/>
        <v>0</v>
      </c>
      <c r="AT90" s="118">
        <f t="shared" si="86"/>
        <v>0</v>
      </c>
      <c r="AU90" s="118">
        <f t="shared" si="87"/>
        <v>20279.300000000043</v>
      </c>
      <c r="AV90" s="118">
        <f t="shared" si="88"/>
        <v>0</v>
      </c>
      <c r="AW90" s="118">
        <f t="shared" si="89"/>
        <v>353569.23144895909</v>
      </c>
      <c r="AX90" s="118">
        <f t="shared" si="90"/>
        <v>0</v>
      </c>
      <c r="AY90" s="118">
        <f t="shared" si="91"/>
        <v>0</v>
      </c>
      <c r="AZ90" s="118">
        <v>140000</v>
      </c>
      <c r="BA90" s="118">
        <v>21392</v>
      </c>
      <c r="BB90" s="118">
        <v>2492</v>
      </c>
      <c r="BC90" s="118"/>
      <c r="BD90" s="118"/>
      <c r="BE90" s="118"/>
      <c r="BF90" s="276">
        <f t="shared" ref="BF90:BF95" si="98">AD90+AE90</f>
        <v>4863388.9052836504</v>
      </c>
      <c r="BG90" s="276">
        <f t="shared" ref="BG90:BG95" si="99">SUM(AF90:AY90)</f>
        <v>691864.60538328788</v>
      </c>
      <c r="BH90" s="276">
        <f t="shared" si="97"/>
        <v>163884</v>
      </c>
      <c r="BI90" s="276">
        <f t="shared" si="67"/>
        <v>353569.23144895909</v>
      </c>
      <c r="BJ90" s="276">
        <f t="shared" si="93"/>
        <v>5719137.5106669385</v>
      </c>
      <c r="BK90" s="276">
        <v>5555253.5099999998</v>
      </c>
      <c r="BL90" s="119">
        <v>5847.6352699999998</v>
      </c>
      <c r="BM90" s="119">
        <v>5709.4973200000004</v>
      </c>
      <c r="BN90" s="228">
        <v>2.419441651273092E-2</v>
      </c>
      <c r="BO90" s="228">
        <v>0</v>
      </c>
      <c r="BP90" s="119">
        <v>0</v>
      </c>
      <c r="BQ90" s="281">
        <f t="shared" si="94"/>
        <v>5719137.5106669385</v>
      </c>
      <c r="BR90" s="119">
        <v>0</v>
      </c>
      <c r="BS90" s="119">
        <v>0</v>
      </c>
      <c r="BT90" s="120">
        <f t="shared" si="95"/>
        <v>5719137.5106669385</v>
      </c>
      <c r="BU90" s="229"/>
      <c r="BV90" s="302"/>
      <c r="BW90" s="303"/>
      <c r="BX90" s="368">
        <v>74981</v>
      </c>
      <c r="BY90" s="99">
        <v>48943</v>
      </c>
      <c r="BZ90" s="107">
        <v>226100</v>
      </c>
      <c r="CB90" s="302"/>
      <c r="CC90" s="303"/>
      <c r="CD90" s="303"/>
      <c r="CE90" s="303"/>
      <c r="CF90" s="303"/>
      <c r="CG90" s="303"/>
      <c r="CH90" s="323"/>
      <c r="CI90" s="303"/>
      <c r="CJ90" s="303"/>
      <c r="CK90" s="305"/>
    </row>
    <row r="91" spans="1:89" ht="14.5" thickBot="1" x14ac:dyDescent="0.3">
      <c r="A91" s="48">
        <v>3125410</v>
      </c>
      <c r="B91" s="135">
        <v>5410</v>
      </c>
      <c r="C91" s="98" t="s">
        <v>183</v>
      </c>
      <c r="D91" s="136">
        <v>1068</v>
      </c>
      <c r="E91" s="136">
        <v>0</v>
      </c>
      <c r="F91" s="136">
        <v>1068</v>
      </c>
      <c r="G91" s="136">
        <v>715</v>
      </c>
      <c r="H91" s="136">
        <v>353</v>
      </c>
      <c r="I91" s="136">
        <v>0</v>
      </c>
      <c r="J91" s="136">
        <v>322.19584569732939</v>
      </c>
      <c r="K91" s="136">
        <v>0</v>
      </c>
      <c r="L91" s="136">
        <v>0</v>
      </c>
      <c r="M91" s="136">
        <v>0</v>
      </c>
      <c r="N91" s="136">
        <v>0</v>
      </c>
      <c r="O91" s="136">
        <v>0</v>
      </c>
      <c r="P91" s="136">
        <v>0</v>
      </c>
      <c r="Q91" s="136">
        <v>260.2436738519217</v>
      </c>
      <c r="R91" s="136">
        <v>254.23805060918485</v>
      </c>
      <c r="S91" s="136">
        <v>36.03373945641988</v>
      </c>
      <c r="T91" s="136">
        <v>15.014058106841615</v>
      </c>
      <c r="U91" s="136">
        <v>9.0084348641049701</v>
      </c>
      <c r="V91" s="136">
        <v>0</v>
      </c>
      <c r="W91" s="136">
        <v>0</v>
      </c>
      <c r="X91" s="136">
        <v>17.000000000000018</v>
      </c>
      <c r="Y91" s="136">
        <v>0</v>
      </c>
      <c r="Z91" s="136">
        <v>188.72895729310443</v>
      </c>
      <c r="AA91" s="136">
        <v>0</v>
      </c>
      <c r="AB91" s="136">
        <v>0</v>
      </c>
      <c r="AC91" s="226">
        <f t="shared" si="68"/>
        <v>0</v>
      </c>
      <c r="AD91" s="226">
        <f t="shared" si="70"/>
        <v>3474345.9381832383</v>
      </c>
      <c r="AE91" s="226">
        <f t="shared" si="71"/>
        <v>1960349.0128817833</v>
      </c>
      <c r="AF91" s="226">
        <f t="shared" si="72"/>
        <v>0</v>
      </c>
      <c r="AG91" s="226">
        <f t="shared" si="73"/>
        <v>465292.68664688431</v>
      </c>
      <c r="AH91" s="118">
        <f t="shared" si="74"/>
        <v>0</v>
      </c>
      <c r="AI91" s="118">
        <f t="shared" si="75"/>
        <v>0</v>
      </c>
      <c r="AJ91" s="118">
        <f t="shared" si="76"/>
        <v>0</v>
      </c>
      <c r="AK91" s="118">
        <f t="shared" si="77"/>
        <v>0</v>
      </c>
      <c r="AL91" s="118">
        <f t="shared" si="78"/>
        <v>0</v>
      </c>
      <c r="AM91" s="118">
        <f t="shared" si="79"/>
        <v>0</v>
      </c>
      <c r="AN91" s="118">
        <f t="shared" si="80"/>
        <v>35609.141893158449</v>
      </c>
      <c r="AO91" s="118">
        <f t="shared" si="81"/>
        <v>69572.242549203438</v>
      </c>
      <c r="AP91" s="118">
        <f t="shared" si="82"/>
        <v>14791.129372071233</v>
      </c>
      <c r="AQ91" s="118">
        <f t="shared" si="83"/>
        <v>8217.1940018744153</v>
      </c>
      <c r="AR91" s="118">
        <f t="shared" si="84"/>
        <v>6162.8504592314921</v>
      </c>
      <c r="AS91" s="118">
        <f t="shared" si="85"/>
        <v>0</v>
      </c>
      <c r="AT91" s="118">
        <f t="shared" si="86"/>
        <v>0</v>
      </c>
      <c r="AU91" s="118">
        <f t="shared" si="87"/>
        <v>20279.300000000021</v>
      </c>
      <c r="AV91" s="118">
        <f t="shared" si="88"/>
        <v>0</v>
      </c>
      <c r="AW91" s="118">
        <f t="shared" si="89"/>
        <v>333559.55911983276</v>
      </c>
      <c r="AX91" s="118">
        <f t="shared" si="90"/>
        <v>0</v>
      </c>
      <c r="AY91" s="118">
        <f t="shared" si="91"/>
        <v>0</v>
      </c>
      <c r="AZ91" s="118">
        <v>140000</v>
      </c>
      <c r="BA91" s="118">
        <v>50806</v>
      </c>
      <c r="BB91" s="118">
        <v>3056</v>
      </c>
      <c r="BC91" s="118"/>
      <c r="BD91" s="118"/>
      <c r="BE91" s="118"/>
      <c r="BF91" s="276">
        <f t="shared" si="98"/>
        <v>5434694.9510650216</v>
      </c>
      <c r="BG91" s="276">
        <f t="shared" si="99"/>
        <v>953484.10404225625</v>
      </c>
      <c r="BH91" s="276">
        <f t="shared" si="97"/>
        <v>193862</v>
      </c>
      <c r="BI91" s="276">
        <f t="shared" si="67"/>
        <v>333559.55911983276</v>
      </c>
      <c r="BJ91" s="276">
        <f t="shared" si="93"/>
        <v>6582041.0551072778</v>
      </c>
      <c r="BK91" s="276">
        <v>6388179.0599999996</v>
      </c>
      <c r="BL91" s="119">
        <v>5981.4410600000001</v>
      </c>
      <c r="BM91" s="119">
        <v>5905.4824200000003</v>
      </c>
      <c r="BN91" s="228">
        <v>1.2862393895574005E-2</v>
      </c>
      <c r="BO91" s="228">
        <v>0</v>
      </c>
      <c r="BP91" s="119">
        <v>0</v>
      </c>
      <c r="BQ91" s="281">
        <f t="shared" si="94"/>
        <v>6582041.0551072778</v>
      </c>
      <c r="BR91" s="119">
        <v>0</v>
      </c>
      <c r="BS91" s="119">
        <v>0</v>
      </c>
      <c r="BT91" s="120">
        <f t="shared" si="95"/>
        <v>6582041.0551072778</v>
      </c>
      <c r="BU91" s="229"/>
      <c r="BV91" s="302"/>
      <c r="BW91" s="303"/>
      <c r="BX91" s="99">
        <v>149962</v>
      </c>
      <c r="BY91" s="99">
        <v>97886</v>
      </c>
      <c r="BZ91" s="107">
        <v>107482</v>
      </c>
      <c r="CA91" s="273"/>
      <c r="CB91" s="302"/>
      <c r="CC91" s="303"/>
      <c r="CD91" s="303"/>
      <c r="CE91" s="303"/>
      <c r="CF91" s="303"/>
      <c r="CG91" s="303"/>
      <c r="CH91" s="323"/>
      <c r="CI91" s="303"/>
      <c r="CJ91" s="303"/>
      <c r="CK91" s="305"/>
    </row>
    <row r="92" spans="1:89" ht="14.5" thickBot="1" x14ac:dyDescent="0.3">
      <c r="A92" s="48">
        <v>3125408</v>
      </c>
      <c r="B92" s="135">
        <v>5408</v>
      </c>
      <c r="C92" s="98" t="s">
        <v>185</v>
      </c>
      <c r="D92" s="136">
        <v>1238</v>
      </c>
      <c r="E92" s="136">
        <v>0</v>
      </c>
      <c r="F92" s="136">
        <v>1238</v>
      </c>
      <c r="G92" s="136">
        <v>769</v>
      </c>
      <c r="H92" s="136">
        <v>469</v>
      </c>
      <c r="I92" s="136">
        <v>0</v>
      </c>
      <c r="J92" s="136">
        <v>283.23627287853577</v>
      </c>
      <c r="K92" s="136">
        <v>0</v>
      </c>
      <c r="L92" s="136">
        <v>0</v>
      </c>
      <c r="M92" s="136">
        <v>0</v>
      </c>
      <c r="N92" s="136">
        <v>0</v>
      </c>
      <c r="O92" s="136">
        <v>0</v>
      </c>
      <c r="P92" s="136">
        <v>0</v>
      </c>
      <c r="Q92" s="136">
        <v>289.00000000000051</v>
      </c>
      <c r="R92" s="136">
        <v>347.00000000000023</v>
      </c>
      <c r="S92" s="136">
        <v>52.999999999999957</v>
      </c>
      <c r="T92" s="136">
        <v>34.000000000000028</v>
      </c>
      <c r="U92" s="136">
        <v>8.0000000000000036</v>
      </c>
      <c r="V92" s="136">
        <v>0</v>
      </c>
      <c r="W92" s="136">
        <v>0</v>
      </c>
      <c r="X92" s="136">
        <v>22.053441295546513</v>
      </c>
      <c r="Y92" s="136">
        <v>0</v>
      </c>
      <c r="Z92" s="136">
        <v>238.32273510157705</v>
      </c>
      <c r="AA92" s="136">
        <v>0</v>
      </c>
      <c r="AB92" s="136">
        <v>0</v>
      </c>
      <c r="AC92" s="226">
        <f t="shared" si="68"/>
        <v>0</v>
      </c>
      <c r="AD92" s="226">
        <f t="shared" si="70"/>
        <v>3736744.092955119</v>
      </c>
      <c r="AE92" s="226">
        <f t="shared" si="71"/>
        <v>2604543.022780613</v>
      </c>
      <c r="AF92" s="226">
        <f t="shared" si="72"/>
        <v>0</v>
      </c>
      <c r="AG92" s="226">
        <f t="shared" si="73"/>
        <v>409029.9987520799</v>
      </c>
      <c r="AH92" s="118">
        <f t="shared" si="74"/>
        <v>0</v>
      </c>
      <c r="AI92" s="118">
        <f t="shared" si="75"/>
        <v>0</v>
      </c>
      <c r="AJ92" s="118">
        <f t="shared" si="76"/>
        <v>0</v>
      </c>
      <c r="AK92" s="118">
        <f t="shared" si="77"/>
        <v>0</v>
      </c>
      <c r="AL92" s="118">
        <f t="shared" si="78"/>
        <v>0</v>
      </c>
      <c r="AM92" s="118">
        <f t="shared" si="79"/>
        <v>0</v>
      </c>
      <c r="AN92" s="118">
        <f t="shared" si="80"/>
        <v>39543.870000000075</v>
      </c>
      <c r="AO92" s="118">
        <f t="shared" si="81"/>
        <v>94956.550000000076</v>
      </c>
      <c r="AP92" s="118">
        <f t="shared" si="82"/>
        <v>21755.439999999984</v>
      </c>
      <c r="AQ92" s="118">
        <f t="shared" si="83"/>
        <v>18608.200000000015</v>
      </c>
      <c r="AR92" s="118">
        <f t="shared" si="84"/>
        <v>5472.9600000000028</v>
      </c>
      <c r="AS92" s="118">
        <f t="shared" si="85"/>
        <v>0</v>
      </c>
      <c r="AT92" s="118">
        <f t="shared" si="86"/>
        <v>0</v>
      </c>
      <c r="AU92" s="118">
        <f t="shared" si="87"/>
        <v>26307.550121457436</v>
      </c>
      <c r="AV92" s="118">
        <f t="shared" si="88"/>
        <v>0</v>
      </c>
      <c r="AW92" s="118">
        <f t="shared" si="89"/>
        <v>421211.60201852728</v>
      </c>
      <c r="AX92" s="118">
        <f t="shared" si="90"/>
        <v>0</v>
      </c>
      <c r="AY92" s="118">
        <f t="shared" si="91"/>
        <v>0</v>
      </c>
      <c r="AZ92" s="118">
        <v>140000</v>
      </c>
      <c r="BA92" s="118">
        <v>31555</v>
      </c>
      <c r="BB92" s="118">
        <v>1755</v>
      </c>
      <c r="BC92" s="118">
        <v>100000</v>
      </c>
      <c r="BD92" s="118"/>
      <c r="BE92" s="118"/>
      <c r="BF92" s="276">
        <f t="shared" si="98"/>
        <v>6341287.115735732</v>
      </c>
      <c r="BG92" s="276">
        <f t="shared" si="99"/>
        <v>1036886.1708920647</v>
      </c>
      <c r="BH92" s="276">
        <f t="shared" si="97"/>
        <v>273310</v>
      </c>
      <c r="BI92" s="276">
        <f t="shared" si="67"/>
        <v>421211.60201852728</v>
      </c>
      <c r="BJ92" s="276">
        <f t="shared" si="93"/>
        <v>7651483.2866277965</v>
      </c>
      <c r="BK92" s="276">
        <v>7478173.29</v>
      </c>
      <c r="BL92" s="119">
        <v>6040.5276999999996</v>
      </c>
      <c r="BM92" s="119">
        <v>5910.8006299999997</v>
      </c>
      <c r="BN92" s="228">
        <v>2.1947461353950135E-2</v>
      </c>
      <c r="BO92" s="228">
        <v>0</v>
      </c>
      <c r="BP92" s="119">
        <v>0</v>
      </c>
      <c r="BQ92" s="281">
        <f t="shared" si="94"/>
        <v>7651483.2866277965</v>
      </c>
      <c r="BR92" s="119">
        <v>0</v>
      </c>
      <c r="BS92" s="119">
        <v>0</v>
      </c>
      <c r="BT92" s="120">
        <f t="shared" si="95"/>
        <v>7651483.2866277965</v>
      </c>
      <c r="BU92" s="229"/>
      <c r="BV92" s="302"/>
      <c r="BW92" s="303"/>
      <c r="BX92" s="99"/>
      <c r="BY92" s="99"/>
      <c r="BZ92" s="107">
        <v>72300</v>
      </c>
      <c r="CB92" s="302"/>
      <c r="CC92" s="303"/>
      <c r="CD92" s="303"/>
      <c r="CE92" s="303"/>
      <c r="CF92" s="303"/>
      <c r="CG92" s="303"/>
      <c r="CH92" s="323"/>
      <c r="CI92" s="303"/>
      <c r="CJ92" s="303"/>
      <c r="CK92" s="305"/>
    </row>
    <row r="93" spans="1:89" ht="14.5" thickBot="1" x14ac:dyDescent="0.3">
      <c r="A93" s="48">
        <v>3124014</v>
      </c>
      <c r="B93" s="135">
        <v>4014</v>
      </c>
      <c r="C93" s="98" t="s">
        <v>186</v>
      </c>
      <c r="D93" s="136">
        <v>152</v>
      </c>
      <c r="E93" s="136">
        <v>0</v>
      </c>
      <c r="F93" s="136">
        <v>152</v>
      </c>
      <c r="G93" s="136">
        <v>0</v>
      </c>
      <c r="H93" s="136">
        <v>152</v>
      </c>
      <c r="I93" s="136">
        <v>0</v>
      </c>
      <c r="J93" s="136">
        <v>55.272727272727273</v>
      </c>
      <c r="K93" s="136">
        <v>0</v>
      </c>
      <c r="L93" s="136">
        <v>0</v>
      </c>
      <c r="M93" s="136">
        <v>0</v>
      </c>
      <c r="N93" s="136">
        <v>0</v>
      </c>
      <c r="O93" s="136">
        <v>0</v>
      </c>
      <c r="P93" s="136">
        <v>0</v>
      </c>
      <c r="Q93" s="136">
        <v>32.426666666666613</v>
      </c>
      <c r="R93" s="136">
        <v>35.466666666666619</v>
      </c>
      <c r="S93" s="136">
        <v>6.08</v>
      </c>
      <c r="T93" s="136">
        <v>5.0666666666666611</v>
      </c>
      <c r="U93" s="136">
        <v>2.0266666666666615</v>
      </c>
      <c r="V93" s="136">
        <v>0</v>
      </c>
      <c r="W93" s="136">
        <v>0</v>
      </c>
      <c r="X93" s="136">
        <v>1.9999999999999991</v>
      </c>
      <c r="Y93" s="136">
        <v>0</v>
      </c>
      <c r="Z93" s="136">
        <v>36.178421637966089</v>
      </c>
      <c r="AA93" s="136">
        <v>0</v>
      </c>
      <c r="AB93" s="136">
        <v>0</v>
      </c>
      <c r="AC93" s="226">
        <f t="shared" si="68"/>
        <v>0</v>
      </c>
      <c r="AD93" s="226">
        <f t="shared" si="70"/>
        <v>0</v>
      </c>
      <c r="AE93" s="226">
        <f t="shared" si="71"/>
        <v>844116.28883294913</v>
      </c>
      <c r="AF93" s="226">
        <f t="shared" si="72"/>
        <v>0</v>
      </c>
      <c r="AG93" s="226">
        <f t="shared" si="73"/>
        <v>79821.003636363646</v>
      </c>
      <c r="AH93" s="118">
        <f t="shared" si="74"/>
        <v>0</v>
      </c>
      <c r="AI93" s="118">
        <f t="shared" si="75"/>
        <v>0</v>
      </c>
      <c r="AJ93" s="118">
        <f t="shared" si="76"/>
        <v>0</v>
      </c>
      <c r="AK93" s="118">
        <f t="shared" si="77"/>
        <v>0</v>
      </c>
      <c r="AL93" s="118">
        <f t="shared" si="78"/>
        <v>0</v>
      </c>
      <c r="AM93" s="118">
        <f t="shared" si="79"/>
        <v>0</v>
      </c>
      <c r="AN93" s="118">
        <f t="shared" si="80"/>
        <v>4436.940799999993</v>
      </c>
      <c r="AO93" s="118">
        <f t="shared" si="81"/>
        <v>9705.453333333322</v>
      </c>
      <c r="AP93" s="118">
        <f t="shared" si="82"/>
        <v>2495.7184000000002</v>
      </c>
      <c r="AQ93" s="118">
        <f t="shared" si="83"/>
        <v>2772.9866666666635</v>
      </c>
      <c r="AR93" s="118">
        <f t="shared" si="84"/>
        <v>1386.4831999999965</v>
      </c>
      <c r="AS93" s="118">
        <f t="shared" si="85"/>
        <v>0</v>
      </c>
      <c r="AT93" s="118">
        <f t="shared" si="86"/>
        <v>0</v>
      </c>
      <c r="AU93" s="118">
        <f t="shared" si="87"/>
        <v>2385.7999999999993</v>
      </c>
      <c r="AV93" s="118">
        <f t="shared" si="88"/>
        <v>0</v>
      </c>
      <c r="AW93" s="118">
        <f t="shared" si="89"/>
        <v>63941.742402941272</v>
      </c>
      <c r="AX93" s="118">
        <f t="shared" si="90"/>
        <v>0</v>
      </c>
      <c r="AY93" s="118">
        <f t="shared" si="91"/>
        <v>0</v>
      </c>
      <c r="AZ93" s="118">
        <v>140000</v>
      </c>
      <c r="BA93" s="118">
        <v>43358</v>
      </c>
      <c r="BB93" s="118">
        <v>2608</v>
      </c>
      <c r="BC93" s="118"/>
      <c r="BD93" s="118"/>
      <c r="BE93" s="118"/>
      <c r="BF93" s="276">
        <f t="shared" si="98"/>
        <v>844116.28883294913</v>
      </c>
      <c r="BG93" s="276">
        <f t="shared" si="99"/>
        <v>166946.12843930491</v>
      </c>
      <c r="BH93" s="276">
        <f t="shared" si="97"/>
        <v>185966</v>
      </c>
      <c r="BI93" s="276">
        <f t="shared" si="67"/>
        <v>63941.742402941272</v>
      </c>
      <c r="BJ93" s="276">
        <f t="shared" si="93"/>
        <v>1197028.4172722539</v>
      </c>
      <c r="BK93" s="276">
        <v>1011062.42</v>
      </c>
      <c r="BL93" s="119">
        <v>6651.7264299999997</v>
      </c>
      <c r="BM93" s="119">
        <v>6326.3637600000002</v>
      </c>
      <c r="BN93" s="228">
        <v>5.1429648545802696E-2</v>
      </c>
      <c r="BO93" s="228">
        <v>0</v>
      </c>
      <c r="BP93" s="119">
        <v>0</v>
      </c>
      <c r="BQ93" s="281">
        <f t="shared" si="94"/>
        <v>1197028.4172722539</v>
      </c>
      <c r="BR93" s="119">
        <v>0</v>
      </c>
      <c r="BS93" s="119">
        <v>0</v>
      </c>
      <c r="BT93" s="120">
        <f t="shared" si="95"/>
        <v>1197028.4172722539</v>
      </c>
      <c r="BU93" s="229"/>
      <c r="BV93" s="302"/>
      <c r="BW93" s="303"/>
      <c r="BX93" s="99"/>
      <c r="BY93" s="99"/>
      <c r="BZ93" s="107">
        <v>22183.333333333336</v>
      </c>
      <c r="CB93" s="302"/>
      <c r="CC93" s="303"/>
      <c r="CD93" s="303"/>
      <c r="CE93" s="303"/>
      <c r="CF93" s="303"/>
      <c r="CG93" s="303"/>
      <c r="CH93" s="323"/>
      <c r="CI93" s="303"/>
      <c r="CJ93" s="303"/>
      <c r="CK93" s="305"/>
    </row>
    <row r="94" spans="1:89" ht="14.5" thickBot="1" x14ac:dyDescent="0.3">
      <c r="A94" s="48">
        <v>3126906</v>
      </c>
      <c r="B94" s="135">
        <v>6906</v>
      </c>
      <c r="C94" s="98" t="s">
        <v>187</v>
      </c>
      <c r="D94" s="136">
        <v>303</v>
      </c>
      <c r="E94" s="136">
        <v>0</v>
      </c>
      <c r="F94" s="136">
        <v>303</v>
      </c>
      <c r="G94" s="136">
        <v>178</v>
      </c>
      <c r="H94" s="136">
        <v>125</v>
      </c>
      <c r="I94" s="136">
        <v>0</v>
      </c>
      <c r="J94" s="136">
        <v>90.988338192419818</v>
      </c>
      <c r="K94" s="136">
        <v>0</v>
      </c>
      <c r="L94" s="136">
        <v>0</v>
      </c>
      <c r="M94" s="136">
        <v>0</v>
      </c>
      <c r="N94" s="136">
        <v>0</v>
      </c>
      <c r="O94" s="136">
        <v>0</v>
      </c>
      <c r="P94" s="136">
        <v>0</v>
      </c>
      <c r="Q94" s="136">
        <v>99.000000000000085</v>
      </c>
      <c r="R94" s="136">
        <v>46.999999999999964</v>
      </c>
      <c r="S94" s="136">
        <v>11.999999999999998</v>
      </c>
      <c r="T94" s="136">
        <v>0.99999999999999989</v>
      </c>
      <c r="U94" s="136">
        <v>0.99999999999999989</v>
      </c>
      <c r="V94" s="136">
        <v>0.99999999999999989</v>
      </c>
      <c r="W94" s="136">
        <v>0</v>
      </c>
      <c r="X94" s="136">
        <v>9</v>
      </c>
      <c r="Y94" s="136">
        <v>0</v>
      </c>
      <c r="Z94" s="136">
        <v>83.569810605896819</v>
      </c>
      <c r="AA94" s="136">
        <v>0</v>
      </c>
      <c r="AB94" s="136">
        <v>0</v>
      </c>
      <c r="AC94" s="226">
        <f t="shared" si="68"/>
        <v>0</v>
      </c>
      <c r="AD94" s="226">
        <f t="shared" si="70"/>
        <v>864942.06572953344</v>
      </c>
      <c r="AE94" s="226">
        <f t="shared" si="71"/>
        <v>694174.57963235944</v>
      </c>
      <c r="AF94" s="226">
        <f t="shared" si="72"/>
        <v>0</v>
      </c>
      <c r="AG94" s="226">
        <f t="shared" si="73"/>
        <v>131398.98883381925</v>
      </c>
      <c r="AH94" s="118">
        <f t="shared" si="74"/>
        <v>0</v>
      </c>
      <c r="AI94" s="118">
        <f t="shared" si="75"/>
        <v>0</v>
      </c>
      <c r="AJ94" s="118">
        <f t="shared" si="76"/>
        <v>0</v>
      </c>
      <c r="AK94" s="118">
        <f t="shared" si="77"/>
        <v>0</v>
      </c>
      <c r="AL94" s="118">
        <f t="shared" si="78"/>
        <v>0</v>
      </c>
      <c r="AM94" s="118">
        <f t="shared" si="79"/>
        <v>0</v>
      </c>
      <c r="AN94" s="118">
        <f t="shared" si="80"/>
        <v>13546.170000000013</v>
      </c>
      <c r="AO94" s="118">
        <f t="shared" si="81"/>
        <v>12861.549999999992</v>
      </c>
      <c r="AP94" s="118">
        <f t="shared" si="82"/>
        <v>4925.7599999999993</v>
      </c>
      <c r="AQ94" s="118">
        <f t="shared" si="83"/>
        <v>547.29999999999984</v>
      </c>
      <c r="AR94" s="118">
        <f t="shared" si="84"/>
        <v>684.11999999999989</v>
      </c>
      <c r="AS94" s="118">
        <f t="shared" si="85"/>
        <v>820.94999999999993</v>
      </c>
      <c r="AT94" s="118">
        <f t="shared" si="86"/>
        <v>0</v>
      </c>
      <c r="AU94" s="118">
        <f t="shared" si="87"/>
        <v>10736.1</v>
      </c>
      <c r="AV94" s="118">
        <f t="shared" si="88"/>
        <v>0</v>
      </c>
      <c r="AW94" s="118">
        <f t="shared" si="89"/>
        <v>147701.28326486205</v>
      </c>
      <c r="AX94" s="118">
        <f t="shared" si="90"/>
        <v>0</v>
      </c>
      <c r="AY94" s="118">
        <f t="shared" si="91"/>
        <v>0</v>
      </c>
      <c r="AZ94" s="118">
        <v>140000</v>
      </c>
      <c r="BA94" s="118">
        <v>60617</v>
      </c>
      <c r="BB94" s="118">
        <v>18867</v>
      </c>
      <c r="BC94" s="118"/>
      <c r="BD94" s="118"/>
      <c r="BE94" s="118"/>
      <c r="BF94" s="276">
        <f t="shared" si="98"/>
        <v>1559116.6453618929</v>
      </c>
      <c r="BG94" s="276">
        <f t="shared" si="99"/>
        <v>323222.22209868132</v>
      </c>
      <c r="BH94" s="276">
        <f>SUM(AZ94:BE94)</f>
        <v>219484</v>
      </c>
      <c r="BI94" s="276">
        <f t="shared" si="67"/>
        <v>147701.28326486205</v>
      </c>
      <c r="BJ94" s="276">
        <f t="shared" si="93"/>
        <v>2101822.867460574</v>
      </c>
      <c r="BK94" s="276">
        <v>1882338.87</v>
      </c>
      <c r="BL94" s="119">
        <v>6212.3395</v>
      </c>
      <c r="BM94" s="119">
        <v>5982.5439999999999</v>
      </c>
      <c r="BN94" s="228">
        <v>3.8411000029941314E-2</v>
      </c>
      <c r="BO94" s="228">
        <v>0</v>
      </c>
      <c r="BP94" s="119">
        <v>0</v>
      </c>
      <c r="BQ94" s="281">
        <f t="shared" si="94"/>
        <v>2101822.867460574</v>
      </c>
      <c r="BR94" s="119">
        <v>0</v>
      </c>
      <c r="BS94" s="119">
        <v>0</v>
      </c>
      <c r="BT94" s="120">
        <f t="shared" si="95"/>
        <v>2101822.867460574</v>
      </c>
      <c r="BU94" s="229"/>
      <c r="BV94" s="302"/>
      <c r="BW94" s="303"/>
      <c r="BX94" s="99"/>
      <c r="BY94" s="99"/>
      <c r="BZ94" s="107">
        <v>41140.833333333328</v>
      </c>
      <c r="CB94" s="302"/>
      <c r="CC94" s="303"/>
      <c r="CD94" s="303"/>
      <c r="CE94" s="303"/>
      <c r="CF94" s="303"/>
      <c r="CG94" s="303"/>
      <c r="CH94" s="323"/>
      <c r="CI94" s="303"/>
      <c r="CJ94" s="303"/>
      <c r="CK94" s="305"/>
    </row>
    <row r="95" spans="1:89" ht="14.5" thickBot="1" x14ac:dyDescent="0.3">
      <c r="A95" s="48">
        <v>3125404</v>
      </c>
      <c r="B95" s="135">
        <v>5404</v>
      </c>
      <c r="C95" s="98" t="s">
        <v>188</v>
      </c>
      <c r="D95" s="136">
        <v>1127</v>
      </c>
      <c r="E95" s="136">
        <v>0</v>
      </c>
      <c r="F95" s="136">
        <v>1127</v>
      </c>
      <c r="G95" s="136">
        <v>686</v>
      </c>
      <c r="H95" s="136">
        <v>441</v>
      </c>
      <c r="I95" s="136">
        <v>0</v>
      </c>
      <c r="J95" s="136">
        <v>439.80487804878049</v>
      </c>
      <c r="K95" s="136">
        <v>0</v>
      </c>
      <c r="L95" s="136">
        <v>0</v>
      </c>
      <c r="M95" s="136">
        <v>0</v>
      </c>
      <c r="N95" s="136">
        <v>0</v>
      </c>
      <c r="O95" s="136">
        <v>0</v>
      </c>
      <c r="P95" s="136">
        <v>0</v>
      </c>
      <c r="Q95" s="136">
        <v>273.99999999999983</v>
      </c>
      <c r="R95" s="136">
        <v>395.00000000000034</v>
      </c>
      <c r="S95" s="136">
        <v>74.999999999999986</v>
      </c>
      <c r="T95" s="136">
        <v>62.000000000000043</v>
      </c>
      <c r="U95" s="136">
        <v>0</v>
      </c>
      <c r="V95" s="136">
        <v>0</v>
      </c>
      <c r="W95" s="136">
        <v>0</v>
      </c>
      <c r="X95" s="136">
        <v>76.652573529411711</v>
      </c>
      <c r="Y95" s="136">
        <v>0</v>
      </c>
      <c r="Z95" s="136">
        <v>265.78140717439658</v>
      </c>
      <c r="AA95" s="136">
        <v>0</v>
      </c>
      <c r="AB95" s="136">
        <v>0</v>
      </c>
      <c r="AC95" s="226">
        <f t="shared" si="68"/>
        <v>0</v>
      </c>
      <c r="AD95" s="226">
        <f t="shared" si="70"/>
        <v>3333428.4106205613</v>
      </c>
      <c r="AE95" s="226">
        <f t="shared" si="71"/>
        <v>2449047.9169429643</v>
      </c>
      <c r="AF95" s="226">
        <f t="shared" si="72"/>
        <v>0</v>
      </c>
      <c r="AG95" s="226">
        <f t="shared" si="73"/>
        <v>635135.41853658541</v>
      </c>
      <c r="AH95" s="118">
        <f t="shared" si="74"/>
        <v>0</v>
      </c>
      <c r="AI95" s="118">
        <f t="shared" si="75"/>
        <v>0</v>
      </c>
      <c r="AJ95" s="118">
        <f t="shared" si="76"/>
        <v>0</v>
      </c>
      <c r="AK95" s="118">
        <f t="shared" si="77"/>
        <v>0</v>
      </c>
      <c r="AL95" s="118">
        <f t="shared" si="78"/>
        <v>0</v>
      </c>
      <c r="AM95" s="118">
        <f t="shared" si="79"/>
        <v>0</v>
      </c>
      <c r="AN95" s="118">
        <f t="shared" si="80"/>
        <v>37491.419999999984</v>
      </c>
      <c r="AO95" s="118">
        <f t="shared" si="81"/>
        <v>108091.7500000001</v>
      </c>
      <c r="AP95" s="118">
        <f t="shared" si="82"/>
        <v>30785.999999999996</v>
      </c>
      <c r="AQ95" s="118">
        <f t="shared" si="83"/>
        <v>33932.60000000002</v>
      </c>
      <c r="AR95" s="118">
        <f t="shared" si="84"/>
        <v>0</v>
      </c>
      <c r="AS95" s="118">
        <f t="shared" si="85"/>
        <v>0</v>
      </c>
      <c r="AT95" s="118">
        <f t="shared" si="86"/>
        <v>0</v>
      </c>
      <c r="AU95" s="118">
        <f t="shared" si="87"/>
        <v>91438.854963235237</v>
      </c>
      <c r="AV95" s="118">
        <f t="shared" si="88"/>
        <v>0</v>
      </c>
      <c r="AW95" s="118">
        <f t="shared" si="89"/>
        <v>469742.05904002854</v>
      </c>
      <c r="AX95" s="118">
        <f t="shared" si="90"/>
        <v>0</v>
      </c>
      <c r="AY95" s="118">
        <f t="shared" si="91"/>
        <v>0</v>
      </c>
      <c r="AZ95" s="118">
        <v>140000</v>
      </c>
      <c r="BA95" s="118">
        <v>41230</v>
      </c>
      <c r="BB95" s="118">
        <v>2480</v>
      </c>
      <c r="BC95" s="118"/>
      <c r="BD95" s="118"/>
      <c r="BE95" s="118"/>
      <c r="BF95" s="276">
        <f t="shared" si="98"/>
        <v>5782476.3275635261</v>
      </c>
      <c r="BG95" s="276">
        <f t="shared" si="99"/>
        <v>1406618.1025398492</v>
      </c>
      <c r="BH95" s="276">
        <f t="shared" ref="BH95:BH96" si="100">SUM(AZ95:BE95)</f>
        <v>183710</v>
      </c>
      <c r="BI95" s="276">
        <f t="shared" si="67"/>
        <v>469742.05904002854</v>
      </c>
      <c r="BJ95" s="276">
        <f t="shared" si="93"/>
        <v>7372804.4301033756</v>
      </c>
      <c r="BK95" s="276">
        <v>7189094.4299999997</v>
      </c>
      <c r="BL95" s="119">
        <v>6378.9657800000004</v>
      </c>
      <c r="BM95" s="119">
        <v>6195.4520300000004</v>
      </c>
      <c r="BN95" s="228">
        <v>2.9620719265189322E-2</v>
      </c>
      <c r="BO95" s="228">
        <v>0</v>
      </c>
      <c r="BP95" s="119">
        <v>0</v>
      </c>
      <c r="BQ95" s="281">
        <f t="shared" si="94"/>
        <v>7372804.4301033756</v>
      </c>
      <c r="BR95" s="119">
        <v>0</v>
      </c>
      <c r="BS95" s="119">
        <v>0</v>
      </c>
      <c r="BT95" s="120">
        <f t="shared" si="95"/>
        <v>7372804.4301033756</v>
      </c>
      <c r="BU95" s="229"/>
      <c r="BV95" s="302"/>
      <c r="BW95" s="303"/>
      <c r="BX95" s="99"/>
      <c r="BY95" s="99"/>
      <c r="BZ95" s="107">
        <v>107400</v>
      </c>
      <c r="CB95" s="302"/>
      <c r="CC95" s="303"/>
      <c r="CD95" s="303"/>
      <c r="CE95" s="303"/>
      <c r="CF95" s="303"/>
      <c r="CG95" s="303"/>
      <c r="CH95" s="323"/>
      <c r="CI95" s="303"/>
      <c r="CJ95" s="303"/>
      <c r="CK95" s="305"/>
    </row>
    <row r="96" spans="1:89" ht="14.5" thickBot="1" x14ac:dyDescent="0.3">
      <c r="A96" s="48">
        <v>3125402</v>
      </c>
      <c r="B96" s="138">
        <v>5402</v>
      </c>
      <c r="C96" s="139" t="s">
        <v>189</v>
      </c>
      <c r="D96" s="136">
        <v>1024</v>
      </c>
      <c r="E96" s="136">
        <v>0</v>
      </c>
      <c r="F96" s="136">
        <v>1024</v>
      </c>
      <c r="G96" s="136">
        <v>666</v>
      </c>
      <c r="H96" s="136">
        <v>358</v>
      </c>
      <c r="I96" s="136">
        <v>0</v>
      </c>
      <c r="J96" s="136">
        <v>137.72484599589322</v>
      </c>
      <c r="K96" s="136">
        <v>0</v>
      </c>
      <c r="L96" s="136">
        <v>0</v>
      </c>
      <c r="M96" s="136">
        <v>0</v>
      </c>
      <c r="N96" s="136">
        <v>0</v>
      </c>
      <c r="O96" s="136">
        <v>0</v>
      </c>
      <c r="P96" s="136">
        <v>0</v>
      </c>
      <c r="Q96" s="136">
        <v>111</v>
      </c>
      <c r="R96" s="136">
        <v>18</v>
      </c>
      <c r="S96" s="136">
        <v>5</v>
      </c>
      <c r="T96" s="136">
        <v>3</v>
      </c>
      <c r="U96" s="136">
        <v>0</v>
      </c>
      <c r="V96" s="136">
        <v>0</v>
      </c>
      <c r="W96" s="136">
        <v>0</v>
      </c>
      <c r="X96" s="136">
        <v>15</v>
      </c>
      <c r="Y96" s="136">
        <v>0</v>
      </c>
      <c r="Z96" s="136">
        <v>173.01477168120573</v>
      </c>
      <c r="AA96" s="136">
        <v>0</v>
      </c>
      <c r="AB96" s="136">
        <v>0</v>
      </c>
      <c r="AC96" s="226">
        <f t="shared" si="68"/>
        <v>0</v>
      </c>
      <c r="AD96" s="226">
        <f t="shared" si="70"/>
        <v>3236243.9088531979</v>
      </c>
      <c r="AE96" s="226">
        <f t="shared" si="71"/>
        <v>1988115.9960670776</v>
      </c>
      <c r="AF96" s="226">
        <f t="shared" si="72"/>
        <v>0</v>
      </c>
      <c r="AG96" s="226">
        <f t="shared" si="73"/>
        <v>198892.5818480493</v>
      </c>
      <c r="AH96" s="118">
        <f t="shared" si="74"/>
        <v>0</v>
      </c>
      <c r="AI96" s="118">
        <f t="shared" si="75"/>
        <v>0</v>
      </c>
      <c r="AJ96" s="118">
        <f t="shared" si="76"/>
        <v>0</v>
      </c>
      <c r="AK96" s="118">
        <f t="shared" si="77"/>
        <v>0</v>
      </c>
      <c r="AL96" s="118">
        <f t="shared" si="78"/>
        <v>0</v>
      </c>
      <c r="AM96" s="118">
        <f t="shared" si="79"/>
        <v>0</v>
      </c>
      <c r="AN96" s="118">
        <f t="shared" si="80"/>
        <v>15188.130000000001</v>
      </c>
      <c r="AO96" s="118">
        <f t="shared" si="81"/>
        <v>4925.7000000000007</v>
      </c>
      <c r="AP96" s="118">
        <f t="shared" si="82"/>
        <v>2052.4</v>
      </c>
      <c r="AQ96" s="118">
        <f t="shared" si="83"/>
        <v>1641.8999999999999</v>
      </c>
      <c r="AR96" s="118">
        <f t="shared" si="84"/>
        <v>0</v>
      </c>
      <c r="AS96" s="118">
        <f t="shared" si="85"/>
        <v>0</v>
      </c>
      <c r="AT96" s="121">
        <f t="shared" si="86"/>
        <v>0</v>
      </c>
      <c r="AU96" s="121">
        <f t="shared" si="87"/>
        <v>17893.5</v>
      </c>
      <c r="AV96" s="121">
        <f t="shared" si="88"/>
        <v>0</v>
      </c>
      <c r="AW96" s="121">
        <f t="shared" si="89"/>
        <v>305786.30746936303</v>
      </c>
      <c r="AX96" s="121">
        <f t="shared" si="90"/>
        <v>0</v>
      </c>
      <c r="AY96" s="121">
        <f t="shared" si="91"/>
        <v>0</v>
      </c>
      <c r="AZ96" s="118">
        <v>140000</v>
      </c>
      <c r="BA96" s="118">
        <v>31654</v>
      </c>
      <c r="BB96" s="118">
        <v>1904</v>
      </c>
      <c r="BC96" s="121"/>
      <c r="BD96" s="121"/>
      <c r="BE96" s="121"/>
      <c r="BF96" s="277">
        <f>AD96+AE96</f>
        <v>5224359.9049202753</v>
      </c>
      <c r="BG96" s="277">
        <f>SUM(AF96:AY96)</f>
        <v>546380.51931741228</v>
      </c>
      <c r="BH96" s="276">
        <f t="shared" si="100"/>
        <v>173558</v>
      </c>
      <c r="BI96" s="277">
        <f t="shared" si="67"/>
        <v>305786.30746936303</v>
      </c>
      <c r="BJ96" s="277">
        <f t="shared" si="93"/>
        <v>5944298.4242376871</v>
      </c>
      <c r="BK96" s="277">
        <v>5770740.4199999999</v>
      </c>
      <c r="BL96" s="119">
        <v>5635.4886999999999</v>
      </c>
      <c r="BM96" s="119">
        <v>5496.2631799999999</v>
      </c>
      <c r="BN96" s="228">
        <v>2.5330939777972787E-2</v>
      </c>
      <c r="BO96" s="228">
        <v>0</v>
      </c>
      <c r="BP96" s="119">
        <v>0</v>
      </c>
      <c r="BQ96" s="281">
        <f t="shared" si="94"/>
        <v>5944298.4242376871</v>
      </c>
      <c r="BR96" s="119">
        <v>0</v>
      </c>
      <c r="BS96" s="119">
        <v>0</v>
      </c>
      <c r="BT96" s="122">
        <f t="shared" si="95"/>
        <v>5944298.4242376871</v>
      </c>
      <c r="BU96" s="229"/>
      <c r="BV96" s="318"/>
      <c r="BW96" s="317"/>
      <c r="BX96" s="108">
        <v>149962</v>
      </c>
      <c r="BY96" s="108">
        <v>97886</v>
      </c>
      <c r="BZ96" s="109">
        <v>275016.66666666663</v>
      </c>
      <c r="CB96" s="318"/>
      <c r="CC96" s="317"/>
      <c r="CD96" s="317"/>
      <c r="CE96" s="317"/>
      <c r="CF96" s="317"/>
      <c r="CG96" s="317"/>
      <c r="CH96" s="325"/>
      <c r="CI96" s="317"/>
      <c r="CJ96" s="317"/>
      <c r="CK96" s="369"/>
    </row>
    <row r="97" spans="2:89" ht="13.5" thickBot="1" x14ac:dyDescent="0.3">
      <c r="I97" s="140"/>
      <c r="AC97" s="226"/>
      <c r="AD97" s="226"/>
      <c r="AE97" s="226"/>
      <c r="AF97" s="226"/>
      <c r="AG97" s="226"/>
      <c r="AH97" s="226"/>
      <c r="BL97" s="124"/>
      <c r="BM97" s="124"/>
      <c r="BO97" s="124"/>
      <c r="BP97" s="124"/>
      <c r="BR97" s="124"/>
      <c r="BS97" s="124"/>
      <c r="BT97" s="126"/>
      <c r="BU97" s="126"/>
      <c r="CB97" s="2"/>
      <c r="CC97" s="2"/>
      <c r="CD97" s="2"/>
      <c r="CE97" s="2"/>
      <c r="CF97" s="2"/>
      <c r="CG97" s="2"/>
      <c r="CH97" s="2"/>
      <c r="CI97" s="2"/>
      <c r="CJ97" s="2"/>
      <c r="CK97" s="2"/>
    </row>
    <row r="98" spans="2:89" s="219" customFormat="1" ht="13.5" thickBot="1" x14ac:dyDescent="0.35">
      <c r="B98" s="219" t="s">
        <v>201</v>
      </c>
      <c r="C98" s="219" t="s">
        <v>200</v>
      </c>
      <c r="D98" s="216">
        <f t="shared" ref="D98:AI98" si="101">SUM(D6:D96)</f>
        <v>44993.8</v>
      </c>
      <c r="E98" s="216">
        <f t="shared" si="101"/>
        <v>27543.8</v>
      </c>
      <c r="F98" s="216">
        <f t="shared" si="101"/>
        <v>17450</v>
      </c>
      <c r="G98" s="216">
        <f t="shared" si="101"/>
        <v>10667</v>
      </c>
      <c r="H98" s="216">
        <f t="shared" si="101"/>
        <v>6783</v>
      </c>
      <c r="I98" s="217">
        <f t="shared" si="101"/>
        <v>5338.3830677859105</v>
      </c>
      <c r="J98" s="217">
        <f t="shared" si="101"/>
        <v>4926.7407030049453</v>
      </c>
      <c r="K98" s="217">
        <f t="shared" si="101"/>
        <v>6206.5473607811909</v>
      </c>
      <c r="L98" s="217">
        <f t="shared" si="101"/>
        <v>5827.3459261107828</v>
      </c>
      <c r="M98" s="217">
        <f t="shared" si="101"/>
        <v>703.27919532048134</v>
      </c>
      <c r="N98" s="217">
        <f t="shared" si="101"/>
        <v>404.7195309513823</v>
      </c>
      <c r="O98" s="217">
        <f t="shared" si="101"/>
        <v>164.21124690479994</v>
      </c>
      <c r="P98" s="217">
        <f t="shared" si="101"/>
        <v>1.0000000000000018</v>
      </c>
      <c r="Q98" s="217">
        <f t="shared" si="101"/>
        <v>3978.3907598901887</v>
      </c>
      <c r="R98" s="217">
        <f t="shared" si="101"/>
        <v>3470.7272900526368</v>
      </c>
      <c r="S98" s="217">
        <f t="shared" si="101"/>
        <v>611.31978453469435</v>
      </c>
      <c r="T98" s="217">
        <f t="shared" si="101"/>
        <v>271.19655113757204</v>
      </c>
      <c r="U98" s="217">
        <f t="shared" si="101"/>
        <v>137.10484067309793</v>
      </c>
      <c r="V98" s="217">
        <f t="shared" si="101"/>
        <v>1.9999999999999964</v>
      </c>
      <c r="W98" s="217">
        <f t="shared" si="101"/>
        <v>7804.9748748465463</v>
      </c>
      <c r="X98" s="217">
        <f t="shared" si="101"/>
        <v>809.33691605563536</v>
      </c>
      <c r="Y98" s="217">
        <f t="shared" si="101"/>
        <v>7577.1919752490403</v>
      </c>
      <c r="Z98" s="217">
        <f t="shared" si="101"/>
        <v>3809.6215795009243</v>
      </c>
      <c r="AA98" s="217">
        <f t="shared" si="101"/>
        <v>82.839877035695849</v>
      </c>
      <c r="AB98" s="217">
        <f t="shared" si="101"/>
        <v>37.659999999999982</v>
      </c>
      <c r="AC98" s="227">
        <f t="shared" si="101"/>
        <v>103220353.75985309</v>
      </c>
      <c r="AD98" s="227">
        <f t="shared" si="101"/>
        <v>51833354.017623223</v>
      </c>
      <c r="AE98" s="227">
        <f t="shared" si="101"/>
        <v>37668689.389170356</v>
      </c>
      <c r="AF98" s="227">
        <f t="shared" si="101"/>
        <v>5930249.5985113308</v>
      </c>
      <c r="AG98" s="227">
        <f t="shared" si="101"/>
        <v>7114854.0514305327</v>
      </c>
      <c r="AH98" s="227">
        <f t="shared" si="101"/>
        <v>653239.10972222022</v>
      </c>
      <c r="AI98" s="217">
        <f t="shared" si="101"/>
        <v>1226656.3174463196</v>
      </c>
      <c r="AJ98" s="217">
        <f t="shared" ref="AJ98:BK98" si="102">SUM(AJ6:AJ96)</f>
        <v>222060.40592244195</v>
      </c>
      <c r="AK98" s="217">
        <f t="shared" si="102"/>
        <v>170386.92253053191</v>
      </c>
      <c r="AL98" s="217">
        <f t="shared" si="102"/>
        <v>86416.168683650962</v>
      </c>
      <c r="AM98" s="217">
        <f t="shared" si="102"/>
        <v>631.50000000000114</v>
      </c>
      <c r="AN98" s="217">
        <f t="shared" si="102"/>
        <v>544363.20767577447</v>
      </c>
      <c r="AO98" s="217">
        <f t="shared" si="102"/>
        <v>949764.52292290423</v>
      </c>
      <c r="AP98" s="217">
        <f t="shared" si="102"/>
        <v>250934.54515580134</v>
      </c>
      <c r="AQ98" s="217">
        <f t="shared" si="102"/>
        <v>148425.87243759315</v>
      </c>
      <c r="AR98" s="217">
        <f t="shared" si="102"/>
        <v>93796.163601279739</v>
      </c>
      <c r="AS98" s="217">
        <f t="shared" si="102"/>
        <v>1641.8999999999969</v>
      </c>
      <c r="AT98" s="217">
        <f t="shared" si="102"/>
        <v>6179198.6084160106</v>
      </c>
      <c r="AU98" s="217">
        <f t="shared" si="102"/>
        <v>965458.0071627677</v>
      </c>
      <c r="AV98" s="217">
        <f t="shared" si="102"/>
        <v>4788861.1002771454</v>
      </c>
      <c r="AW98" s="217">
        <f t="shared" si="102"/>
        <v>6733125.1796099357</v>
      </c>
      <c r="AX98" s="217">
        <f t="shared" si="102"/>
        <v>81936.922376006783</v>
      </c>
      <c r="AY98" s="217">
        <f t="shared" si="102"/>
        <v>53390.58199999998</v>
      </c>
      <c r="AZ98" s="217">
        <f t="shared" si="102"/>
        <v>12740000</v>
      </c>
      <c r="BA98" s="217">
        <f t="shared" si="102"/>
        <v>2591509</v>
      </c>
      <c r="BB98" s="217">
        <f t="shared" si="102"/>
        <v>235942</v>
      </c>
      <c r="BC98" s="217">
        <f t="shared" si="102"/>
        <v>100000</v>
      </c>
      <c r="BD98" s="217">
        <f t="shared" si="102"/>
        <v>1148521</v>
      </c>
      <c r="BE98" s="217">
        <f t="shared" si="102"/>
        <v>-116000.40000000001</v>
      </c>
      <c r="BF98" s="217">
        <f t="shared" si="102"/>
        <v>192722397.16664678</v>
      </c>
      <c r="BG98" s="217">
        <f t="shared" si="102"/>
        <v>36195390.685882248</v>
      </c>
      <c r="BH98" s="217">
        <f t="shared" si="102"/>
        <v>16699971.600000001</v>
      </c>
      <c r="BI98" s="217">
        <f t="shared" si="102"/>
        <v>11521986.27988708</v>
      </c>
      <c r="BJ98" s="217">
        <f t="shared" si="102"/>
        <v>245617759.45252895</v>
      </c>
      <c r="BK98" s="217">
        <f t="shared" si="102"/>
        <v>230166237.68999991</v>
      </c>
      <c r="BL98" s="217">
        <f t="shared" ref="BL98:BM98" si="103">SUM(BL6:BL96)</f>
        <v>444117.61591000017</v>
      </c>
      <c r="BM98" s="217">
        <f t="shared" si="103"/>
        <v>433694.24051000009</v>
      </c>
      <c r="BN98" s="217"/>
      <c r="BO98" s="217"/>
      <c r="BP98" s="217">
        <f>SUM(BP6:BP96)</f>
        <v>408630.32</v>
      </c>
      <c r="BQ98" s="282">
        <f>SUM(BQ6:BQ96)</f>
        <v>246026389.77252895</v>
      </c>
      <c r="BR98" s="217">
        <f>SUM(BR6:BR96)</f>
        <v>-42934.950000000012</v>
      </c>
      <c r="BS98" s="217">
        <f>SUM(BS6:BS96)</f>
        <v>-24898.350000000006</v>
      </c>
      <c r="BT98" s="218">
        <f>SUM(BT6:BT96)</f>
        <v>245958556.47252896</v>
      </c>
      <c r="BU98" s="230"/>
      <c r="BV98" s="220">
        <f>SUM(BV5:BV96)</f>
        <v>9659166.8403678611</v>
      </c>
      <c r="BW98" s="220">
        <f t="shared" ref="BW98:CJ98" si="104">SUM(BW5:BW96)</f>
        <v>1602084.4749875162</v>
      </c>
      <c r="BX98" s="220">
        <f t="shared" si="104"/>
        <v>524867</v>
      </c>
      <c r="BY98" s="220">
        <f t="shared" si="104"/>
        <v>342601</v>
      </c>
      <c r="BZ98" s="220">
        <f t="shared" si="104"/>
        <v>7553131.416666667</v>
      </c>
      <c r="CA98" s="221">
        <f t="shared" ref="CA98:CK98" si="105">SUM(CA6:CA96)</f>
        <v>0</v>
      </c>
      <c r="CB98" s="220">
        <f t="shared" si="104"/>
        <v>5076441.5199317345</v>
      </c>
      <c r="CC98" s="220">
        <f t="shared" si="104"/>
        <v>63860</v>
      </c>
      <c r="CD98" s="220">
        <f t="shared" si="104"/>
        <v>185255</v>
      </c>
      <c r="CE98" s="220">
        <f t="shared" si="104"/>
        <v>0</v>
      </c>
      <c r="CF98" s="220">
        <f t="shared" si="104"/>
        <v>0</v>
      </c>
      <c r="CG98" s="220">
        <v>390325</v>
      </c>
      <c r="CH98" s="220">
        <f t="shared" si="104"/>
        <v>2577848</v>
      </c>
      <c r="CI98" s="220">
        <f t="shared" si="104"/>
        <v>0</v>
      </c>
      <c r="CJ98" s="220">
        <f t="shared" si="104"/>
        <v>486623</v>
      </c>
      <c r="CK98" s="222">
        <f t="shared" si="105"/>
        <v>967752</v>
      </c>
    </row>
    <row r="100" spans="2:89" x14ac:dyDescent="0.25">
      <c r="AC100" s="124"/>
      <c r="AJ100" s="123"/>
      <c r="AK100" s="123"/>
      <c r="AL100" s="125"/>
      <c r="AM100" s="123"/>
      <c r="AN100" s="123"/>
      <c r="AO100" s="278"/>
      <c r="AP100" s="123"/>
      <c r="AQ100" s="123"/>
      <c r="AR100" s="128"/>
      <c r="AS100" s="128"/>
      <c r="AT100"/>
      <c r="AU100"/>
      <c r="AV100"/>
      <c r="AW100"/>
      <c r="AX100"/>
      <c r="AY100"/>
      <c r="AZ100" s="254"/>
      <c r="BA100"/>
      <c r="BB100"/>
      <c r="BC100"/>
      <c r="BD100"/>
      <c r="BE100"/>
      <c r="BF100"/>
      <c r="BG100"/>
      <c r="BH100"/>
      <c r="BI100"/>
      <c r="BJ100"/>
      <c r="BK100"/>
      <c r="BL100"/>
      <c r="BM100"/>
      <c r="BN100"/>
      <c r="BO100"/>
      <c r="BP100"/>
      <c r="BQ100"/>
      <c r="BR100"/>
      <c r="BS100"/>
      <c r="BT100"/>
      <c r="BU100"/>
    </row>
    <row r="101" spans="2:89" x14ac:dyDescent="0.25">
      <c r="AC101" s="124"/>
      <c r="AJ101" s="123"/>
      <c r="AK101" s="123"/>
      <c r="AL101" s="125"/>
      <c r="AM101" s="129"/>
      <c r="AN101" s="123"/>
      <c r="AO101" s="278"/>
      <c r="AP101" s="123"/>
      <c r="AQ101" s="123"/>
      <c r="AR101" s="128"/>
      <c r="AS101" s="128"/>
      <c r="AT101"/>
      <c r="AU101"/>
      <c r="AV101"/>
      <c r="AW101"/>
      <c r="AX101"/>
      <c r="AY101"/>
      <c r="AZ101"/>
      <c r="BA101"/>
      <c r="BB101"/>
      <c r="BC101"/>
      <c r="BD101"/>
      <c r="BE101"/>
      <c r="BF101"/>
      <c r="BG101"/>
      <c r="BH101"/>
      <c r="BI101"/>
      <c r="BJ101"/>
      <c r="BK101"/>
      <c r="BL101"/>
      <c r="BM101"/>
      <c r="BN101"/>
      <c r="BO101"/>
      <c r="BP101"/>
      <c r="BQ101"/>
      <c r="BR101"/>
      <c r="BS101"/>
      <c r="BT101"/>
      <c r="BU101"/>
    </row>
    <row r="102" spans="2:89" x14ac:dyDescent="0.25">
      <c r="AC102" s="124"/>
      <c r="AJ102" s="123"/>
      <c r="AK102" s="123"/>
      <c r="AL102" s="125"/>
      <c r="AM102" s="129"/>
      <c r="AN102" s="123"/>
      <c r="AO102" s="278"/>
      <c r="AP102" s="123"/>
      <c r="AQ102" s="123"/>
      <c r="AR102" s="128"/>
      <c r="AS102" s="128"/>
      <c r="AT102"/>
      <c r="AU102"/>
      <c r="AV102"/>
      <c r="AW102"/>
      <c r="AX102"/>
      <c r="AY102"/>
      <c r="AZ102"/>
      <c r="BA102"/>
      <c r="BB102"/>
      <c r="BC102"/>
      <c r="BD102"/>
      <c r="BE102"/>
      <c r="BF102"/>
      <c r="BG102"/>
      <c r="BH102"/>
      <c r="BI102"/>
      <c r="BJ102"/>
      <c r="BK102"/>
      <c r="BL102"/>
      <c r="BM102"/>
      <c r="BN102"/>
      <c r="BO102"/>
      <c r="BP102"/>
      <c r="BQ102"/>
      <c r="BR102"/>
      <c r="BS102"/>
      <c r="BT102"/>
      <c r="BU102"/>
    </row>
    <row r="103" spans="2:89" x14ac:dyDescent="0.25">
      <c r="BO103" s="129"/>
    </row>
    <row r="104" spans="2:89" x14ac:dyDescent="0.25">
      <c r="BO104" s="129"/>
    </row>
    <row r="105" spans="2:89" x14ac:dyDescent="0.25">
      <c r="BO105" s="129"/>
    </row>
    <row r="106" spans="2:89" x14ac:dyDescent="0.25">
      <c r="BO106" s="129"/>
    </row>
    <row r="107" spans="2:89" x14ac:dyDescent="0.25">
      <c r="BO107" s="129"/>
    </row>
    <row r="108" spans="2:89" x14ac:dyDescent="0.25">
      <c r="BO108" s="129"/>
    </row>
    <row r="109" spans="2:89" x14ac:dyDescent="0.25">
      <c r="BO109" s="129"/>
    </row>
    <row r="110" spans="2:89" x14ac:dyDescent="0.25">
      <c r="BO110" s="129"/>
    </row>
    <row r="111" spans="2:89" x14ac:dyDescent="0.25">
      <c r="BO111" s="129"/>
    </row>
    <row r="112" spans="2:89" x14ac:dyDescent="0.25">
      <c r="BO112" s="129"/>
    </row>
    <row r="113" spans="67:67" x14ac:dyDescent="0.25">
      <c r="BO113" s="129"/>
    </row>
    <row r="114" spans="67:67" x14ac:dyDescent="0.25">
      <c r="BO114" s="129"/>
    </row>
    <row r="115" spans="67:67" x14ac:dyDescent="0.25">
      <c r="BO115" s="129"/>
    </row>
    <row r="116" spans="67:67" x14ac:dyDescent="0.25">
      <c r="BO116" s="129"/>
    </row>
    <row r="117" spans="67:67" x14ac:dyDescent="0.25">
      <c r="BO117" s="129"/>
    </row>
    <row r="118" spans="67:67" x14ac:dyDescent="0.25">
      <c r="BO118" s="129"/>
    </row>
    <row r="119" spans="67:67" x14ac:dyDescent="0.25">
      <c r="BO119" s="129"/>
    </row>
    <row r="120" spans="67:67" x14ac:dyDescent="0.25">
      <c r="BO120" s="129"/>
    </row>
    <row r="121" spans="67:67" x14ac:dyDescent="0.25">
      <c r="BO121" s="129"/>
    </row>
    <row r="122" spans="67:67" x14ac:dyDescent="0.25">
      <c r="BO122" s="129"/>
    </row>
    <row r="123" spans="67:67" x14ac:dyDescent="0.25">
      <c r="BO123" s="129"/>
    </row>
    <row r="124" spans="67:67" x14ac:dyDescent="0.25">
      <c r="BO124" s="129"/>
    </row>
    <row r="125" spans="67:67" x14ac:dyDescent="0.25">
      <c r="BO125" s="129"/>
    </row>
    <row r="126" spans="67:67" x14ac:dyDescent="0.25">
      <c r="BO126" s="129"/>
    </row>
    <row r="127" spans="67:67" x14ac:dyDescent="0.25">
      <c r="BO127" s="129"/>
    </row>
    <row r="128" spans="67:67" x14ac:dyDescent="0.25">
      <c r="BO128" s="129"/>
    </row>
    <row r="129" spans="67:67" x14ac:dyDescent="0.25">
      <c r="BO129" s="129"/>
    </row>
    <row r="130" spans="67:67" x14ac:dyDescent="0.25">
      <c r="BO130" s="129"/>
    </row>
    <row r="131" spans="67:67" x14ac:dyDescent="0.25">
      <c r="BO131" s="129"/>
    </row>
    <row r="132" spans="67:67" x14ac:dyDescent="0.25">
      <c r="BO132" s="129"/>
    </row>
    <row r="133" spans="67:67" x14ac:dyDescent="0.25">
      <c r="BO133" s="129"/>
    </row>
    <row r="134" spans="67:67" x14ac:dyDescent="0.25">
      <c r="BO134" s="129"/>
    </row>
    <row r="135" spans="67:67" x14ac:dyDescent="0.25">
      <c r="BO135" s="129"/>
    </row>
    <row r="136" spans="67:67" x14ac:dyDescent="0.25">
      <c r="BO136" s="129"/>
    </row>
    <row r="137" spans="67:67" x14ac:dyDescent="0.25">
      <c r="BO137" s="129"/>
    </row>
    <row r="138" spans="67:67" x14ac:dyDescent="0.25">
      <c r="BO138" s="129"/>
    </row>
    <row r="139" spans="67:67" x14ac:dyDescent="0.25">
      <c r="BO139" s="129"/>
    </row>
    <row r="140" spans="67:67" x14ac:dyDescent="0.25">
      <c r="BO140" s="129"/>
    </row>
    <row r="141" spans="67:67" x14ac:dyDescent="0.25">
      <c r="BO141" s="129"/>
    </row>
    <row r="142" spans="67:67" x14ac:dyDescent="0.25">
      <c r="BO142" s="129"/>
    </row>
    <row r="143" spans="67:67" x14ac:dyDescent="0.25">
      <c r="BO143" s="129"/>
    </row>
    <row r="144" spans="67:67" x14ac:dyDescent="0.25">
      <c r="BO144" s="129"/>
    </row>
    <row r="145" spans="67:67" x14ac:dyDescent="0.25">
      <c r="BO145" s="129"/>
    </row>
    <row r="146" spans="67:67" x14ac:dyDescent="0.25">
      <c r="BO146" s="129"/>
    </row>
    <row r="147" spans="67:67" x14ac:dyDescent="0.25">
      <c r="BO147" s="129"/>
    </row>
    <row r="148" spans="67:67" x14ac:dyDescent="0.25">
      <c r="BO148" s="129"/>
    </row>
    <row r="149" spans="67:67" x14ac:dyDescent="0.25">
      <c r="BO149" s="129"/>
    </row>
    <row r="150" spans="67:67" x14ac:dyDescent="0.25">
      <c r="BO150" s="129"/>
    </row>
    <row r="151" spans="67:67" x14ac:dyDescent="0.25">
      <c r="BO151" s="129"/>
    </row>
    <row r="152" spans="67:67" x14ac:dyDescent="0.25">
      <c r="BO152" s="129"/>
    </row>
    <row r="153" spans="67:67" x14ac:dyDescent="0.25">
      <c r="BO153" s="129"/>
    </row>
    <row r="154" spans="67:67" x14ac:dyDescent="0.25">
      <c r="BO154" s="129"/>
    </row>
    <row r="155" spans="67:67" x14ac:dyDescent="0.25">
      <c r="BO155" s="129"/>
    </row>
    <row r="156" spans="67:67" x14ac:dyDescent="0.25">
      <c r="BO156" s="129"/>
    </row>
    <row r="157" spans="67:67" x14ac:dyDescent="0.25">
      <c r="BO157" s="129"/>
    </row>
    <row r="158" spans="67:67" x14ac:dyDescent="0.25">
      <c r="BO158" s="129"/>
    </row>
    <row r="159" spans="67:67" x14ac:dyDescent="0.25">
      <c r="BO159" s="129"/>
    </row>
    <row r="160" spans="67:67" x14ac:dyDescent="0.25">
      <c r="BO160" s="129"/>
    </row>
    <row r="161" spans="67:67" x14ac:dyDescent="0.25">
      <c r="BO161" s="129"/>
    </row>
    <row r="162" spans="67:67" x14ac:dyDescent="0.25">
      <c r="BO162" s="129"/>
    </row>
    <row r="163" spans="67:67" x14ac:dyDescent="0.25">
      <c r="BO163" s="129"/>
    </row>
    <row r="164" spans="67:67" x14ac:dyDescent="0.25">
      <c r="BO164" s="129"/>
    </row>
    <row r="165" spans="67:67" x14ac:dyDescent="0.25">
      <c r="BO165" s="129"/>
    </row>
    <row r="166" spans="67:67" x14ac:dyDescent="0.25">
      <c r="BO166" s="129"/>
    </row>
    <row r="167" spans="67:67" x14ac:dyDescent="0.25">
      <c r="BO167" s="129"/>
    </row>
    <row r="168" spans="67:67" x14ac:dyDescent="0.25">
      <c r="BO168" s="129"/>
    </row>
    <row r="169" spans="67:67" x14ac:dyDescent="0.25">
      <c r="BO169" s="129"/>
    </row>
    <row r="170" spans="67:67" x14ac:dyDescent="0.25">
      <c r="BO170" s="129"/>
    </row>
    <row r="171" spans="67:67" x14ac:dyDescent="0.25">
      <c r="BO171" s="129"/>
    </row>
    <row r="172" spans="67:67" x14ac:dyDescent="0.25">
      <c r="BO172" s="129"/>
    </row>
    <row r="173" spans="67:67" x14ac:dyDescent="0.25">
      <c r="BO173" s="129"/>
    </row>
    <row r="174" spans="67:67" x14ac:dyDescent="0.25">
      <c r="BO174" s="129"/>
    </row>
    <row r="175" spans="67:67" x14ac:dyDescent="0.25">
      <c r="BO175" s="129"/>
    </row>
    <row r="176" spans="67:67" x14ac:dyDescent="0.25">
      <c r="BO176" s="129"/>
    </row>
    <row r="177" spans="67:67" x14ac:dyDescent="0.25">
      <c r="BO177" s="129"/>
    </row>
    <row r="178" spans="67:67" x14ac:dyDescent="0.25">
      <c r="BO178" s="129"/>
    </row>
    <row r="179" spans="67:67" x14ac:dyDescent="0.25">
      <c r="BO179" s="129"/>
    </row>
    <row r="180" spans="67:67" x14ac:dyDescent="0.25">
      <c r="BO180" s="129"/>
    </row>
  </sheetData>
  <autoFilter ref="A4:CL96" xr:uid="{00000000-0009-0000-0000-000002000000}"/>
  <sortState xmlns:xlrd2="http://schemas.microsoft.com/office/spreadsheetml/2017/richdata2" ref="A76:BK96">
    <sortCondition ref="C76:C96"/>
  </sortState>
  <mergeCells count="3">
    <mergeCell ref="D3:AB3"/>
    <mergeCell ref="CB3:CK3"/>
    <mergeCell ref="BV3:BZ3"/>
  </mergeCells>
  <phoneticPr fontId="2" type="noConversion"/>
  <conditionalFormatting sqref="A4">
    <cfRule type="duplicateValues" dxfId="6" priority="2"/>
  </conditionalFormatting>
  <conditionalFormatting sqref="B1:B4 B6:B1048576">
    <cfRule type="duplicateValues" dxfId="5" priority="4"/>
  </conditionalFormatting>
  <conditionalFormatting sqref="B5">
    <cfRule type="duplicateValues" dxfId="4" priority="1"/>
  </conditionalFormatting>
  <dataValidations count="2">
    <dataValidation type="decimal" operator="greaterThanOrEqual" allowBlank="1" showInputMessage="1" showErrorMessage="1" error="This figure cannot be negative" sqref="BA6:BB96" xr:uid="{00000000-0002-0000-0200-000000000000}">
      <formula1>0</formula1>
    </dataValidation>
    <dataValidation type="decimal" operator="greaterThanOrEqual" allowBlank="1" showInputMessage="1" showErrorMessage="1" errorTitle="Error" error="This figure cannot be negative." sqref="BY84 BY66" xr:uid="{8E8FD568-CA79-419F-AD9D-B9728128B11F}">
      <formula1>0</formula1>
    </dataValidation>
  </dataValidations>
  <pageMargins left="0.75" right="0.75" top="1" bottom="1" header="0.5" footer="0.5"/>
  <pageSetup paperSize="8" scale="38" fitToWidth="3"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06D54-D16A-4622-A7B2-812255FFD967}">
  <sheetPr>
    <tabColor theme="9" tint="0.39997558519241921"/>
    <pageSetUpPr fitToPage="1"/>
  </sheetPr>
  <dimension ref="A1:AA62"/>
  <sheetViews>
    <sheetView workbookViewId="0">
      <pane xSplit="2" ySplit="3" topLeftCell="C4" activePane="bottomRight" state="frozen"/>
      <selection pane="topRight" activeCell="C1" sqref="C1"/>
      <selection pane="bottomLeft" activeCell="A3" sqref="A3"/>
      <selection pane="bottomRight" activeCell="B44" sqref="B44"/>
    </sheetView>
  </sheetViews>
  <sheetFormatPr defaultColWidth="9.1796875" defaultRowHeight="13" x14ac:dyDescent="0.3"/>
  <cols>
    <col min="1" max="1" width="9.453125" style="48" bestFit="1" customWidth="1"/>
    <col min="2" max="2" width="45.453125" style="48" customWidth="1"/>
    <col min="3" max="4" width="13.81640625" style="143" customWidth="1"/>
    <col min="5" max="5" width="13.81640625" style="363" customWidth="1"/>
    <col min="6" max="10" width="13.81640625" style="349" customWidth="1"/>
    <col min="11" max="11" width="10.453125" style="143" customWidth="1"/>
    <col min="12" max="12" width="1.26953125" style="143" customWidth="1"/>
    <col min="13" max="13" width="9.54296875" style="143" customWidth="1"/>
    <col min="14" max="14" width="11.54296875" style="352" customWidth="1"/>
    <col min="15" max="15" width="12.26953125" style="143" customWidth="1"/>
    <col min="16" max="16" width="11.1796875" style="143" customWidth="1"/>
    <col min="17" max="17" width="1.26953125" style="143" customWidth="1"/>
    <col min="18" max="18" width="10.7265625" style="143" customWidth="1"/>
    <col min="19" max="19" width="12.26953125" style="353" customWidth="1"/>
    <col min="20" max="20" width="13" style="143" customWidth="1"/>
    <col min="21" max="21" width="1.26953125" style="143" customWidth="1"/>
    <col min="22" max="22" width="9.81640625" style="349" customWidth="1"/>
    <col min="23" max="25" width="18.54296875" style="349" customWidth="1"/>
    <col min="26" max="26" width="13.26953125" style="350" customWidth="1"/>
    <col min="27" max="27" width="12" style="48" customWidth="1"/>
    <col min="28" max="16384" width="9.1796875" style="48"/>
  </cols>
  <sheetData>
    <row r="1" spans="1:27" x14ac:dyDescent="0.3">
      <c r="B1" s="46" t="s">
        <v>272</v>
      </c>
      <c r="E1" s="349"/>
      <c r="F1" s="351"/>
      <c r="G1" s="143"/>
      <c r="J1" s="351"/>
      <c r="K1" s="349"/>
    </row>
    <row r="2" spans="1:27" s="3" customFormat="1" x14ac:dyDescent="0.3">
      <c r="B2" s="46"/>
      <c r="C2" s="429" t="s">
        <v>273</v>
      </c>
      <c r="D2" s="429"/>
      <c r="E2" s="429"/>
      <c r="F2" s="429"/>
      <c r="G2" s="429" t="s">
        <v>274</v>
      </c>
      <c r="H2" s="429"/>
      <c r="I2" s="429"/>
      <c r="J2" s="429"/>
      <c r="K2" s="420" t="s">
        <v>275</v>
      </c>
      <c r="L2" s="349"/>
      <c r="M2" s="429" t="s">
        <v>276</v>
      </c>
      <c r="N2" s="429"/>
      <c r="O2" s="429"/>
      <c r="P2" s="429"/>
      <c r="Q2" s="349"/>
      <c r="R2" s="429" t="s">
        <v>277</v>
      </c>
      <c r="S2" s="429"/>
      <c r="T2" s="429"/>
      <c r="U2" s="349"/>
      <c r="V2" s="429" t="s">
        <v>278</v>
      </c>
      <c r="W2" s="429"/>
      <c r="X2" s="429"/>
      <c r="Y2" s="429"/>
      <c r="Z2" s="429"/>
    </row>
    <row r="3" spans="1:27" s="3" customFormat="1" ht="39" x14ac:dyDescent="0.3">
      <c r="A3" s="372" t="s">
        <v>279</v>
      </c>
      <c r="B3" s="372" t="s">
        <v>280</v>
      </c>
      <c r="C3" s="373" t="s">
        <v>281</v>
      </c>
      <c r="D3" s="373" t="s">
        <v>282</v>
      </c>
      <c r="E3" s="373" t="s">
        <v>283</v>
      </c>
      <c r="F3" s="373" t="s">
        <v>284</v>
      </c>
      <c r="G3" s="373" t="s">
        <v>281</v>
      </c>
      <c r="H3" s="373" t="s">
        <v>282</v>
      </c>
      <c r="I3" s="373" t="s">
        <v>283</v>
      </c>
      <c r="J3" s="373" t="s">
        <v>285</v>
      </c>
      <c r="K3" s="373" t="s">
        <v>286</v>
      </c>
      <c r="L3" s="374"/>
      <c r="M3" s="373" t="s">
        <v>287</v>
      </c>
      <c r="N3" s="375" t="s">
        <v>288</v>
      </c>
      <c r="O3" s="376" t="s">
        <v>289</v>
      </c>
      <c r="P3" s="373" t="s">
        <v>290</v>
      </c>
      <c r="Q3" s="374"/>
      <c r="R3" s="374" t="s">
        <v>291</v>
      </c>
      <c r="S3" s="377" t="s">
        <v>292</v>
      </c>
      <c r="T3" s="374" t="s">
        <v>293</v>
      </c>
      <c r="U3" s="374"/>
      <c r="V3" s="373" t="s">
        <v>294</v>
      </c>
      <c r="W3" s="373" t="s">
        <v>295</v>
      </c>
      <c r="X3" s="373" t="s">
        <v>296</v>
      </c>
      <c r="Y3" s="373" t="s">
        <v>297</v>
      </c>
      <c r="Z3" s="378" t="s">
        <v>298</v>
      </c>
      <c r="AA3" s="342"/>
    </row>
    <row r="4" spans="1:27" x14ac:dyDescent="0.3">
      <c r="A4" s="98">
        <v>1000</v>
      </c>
      <c r="B4" s="348" t="s">
        <v>269</v>
      </c>
      <c r="C4" s="364">
        <v>20475</v>
      </c>
      <c r="D4" s="364">
        <v>15990</v>
      </c>
      <c r="E4" s="152">
        <v>14940</v>
      </c>
      <c r="F4" s="354">
        <v>51405</v>
      </c>
      <c r="G4" s="152">
        <v>6435</v>
      </c>
      <c r="H4" s="152">
        <v>4485</v>
      </c>
      <c r="I4" s="152">
        <v>4140</v>
      </c>
      <c r="J4" s="354">
        <f>SUM(G4:I4)</f>
        <v>15060</v>
      </c>
      <c r="K4" s="355">
        <v>4.9800000000000004</v>
      </c>
      <c r="L4" s="145"/>
      <c r="M4" s="356">
        <v>0.28755813953488374</v>
      </c>
      <c r="N4" s="357">
        <v>14781.926162790698</v>
      </c>
      <c r="O4" s="358">
        <v>32049.954544157754</v>
      </c>
      <c r="P4" s="359">
        <v>0.62347932193673283</v>
      </c>
      <c r="Q4" s="145"/>
      <c r="R4" s="145" t="s">
        <v>299</v>
      </c>
      <c r="S4" s="360">
        <v>0.31</v>
      </c>
      <c r="T4" s="358">
        <v>20604.150000000001</v>
      </c>
      <c r="U4" s="145"/>
      <c r="V4" s="365">
        <f>K4+P4+S4</f>
        <v>5.913479321936733</v>
      </c>
      <c r="W4" s="361">
        <f>F4*V4</f>
        <v>303982.40454415773</v>
      </c>
      <c r="X4" s="361">
        <f>J4*V4</f>
        <v>89056.998588367205</v>
      </c>
      <c r="Y4" s="361">
        <f>W4+X4</f>
        <v>393039.40313252492</v>
      </c>
      <c r="Z4" s="361">
        <v>237665</v>
      </c>
    </row>
    <row r="5" spans="1:27" x14ac:dyDescent="0.3">
      <c r="A5" s="98">
        <v>2001</v>
      </c>
      <c r="B5" s="348" t="s">
        <v>300</v>
      </c>
      <c r="C5" s="364">
        <v>11700</v>
      </c>
      <c r="D5" s="364">
        <v>9945</v>
      </c>
      <c r="E5" s="152">
        <v>11160</v>
      </c>
      <c r="F5" s="354">
        <f t="shared" ref="F5:F36" si="0">SUM(C5:E5)</f>
        <v>32805</v>
      </c>
      <c r="G5" s="152">
        <v>1365</v>
      </c>
      <c r="H5" s="152">
        <v>2145</v>
      </c>
      <c r="I5" s="152">
        <v>2340</v>
      </c>
      <c r="J5" s="354">
        <f t="shared" ref="J5:J61" si="1">SUM(G5:I5)</f>
        <v>5850</v>
      </c>
      <c r="K5" s="355">
        <v>4.9800000000000004</v>
      </c>
      <c r="L5" s="145"/>
      <c r="M5" s="356">
        <v>0.30678571428571416</v>
      </c>
      <c r="N5" s="357">
        <v>10064.105357142853</v>
      </c>
      <c r="O5" s="358">
        <v>21820.844974586693</v>
      </c>
      <c r="P5" s="359">
        <v>0.66516826625778669</v>
      </c>
      <c r="Q5" s="145"/>
      <c r="R5" s="145" t="s">
        <v>299</v>
      </c>
      <c r="S5" s="360">
        <v>0.31</v>
      </c>
      <c r="T5" s="358">
        <v>11983.05</v>
      </c>
      <c r="U5" s="145"/>
      <c r="V5" s="365">
        <f t="shared" ref="V5:V61" si="2">K5+P5+S5</f>
        <v>5.9551682662577869</v>
      </c>
      <c r="W5" s="361">
        <f t="shared" ref="W5:W61" si="3">F5*V5</f>
        <v>195359.29497458669</v>
      </c>
      <c r="X5" s="361">
        <f t="shared" ref="X5:X61" si="4">J5*V5</f>
        <v>34837.734357608053</v>
      </c>
      <c r="Y5" s="361">
        <v>226305.79497458672</v>
      </c>
      <c r="Z5" s="362"/>
    </row>
    <row r="6" spans="1:27" x14ac:dyDescent="0.3">
      <c r="A6" s="98">
        <v>3401</v>
      </c>
      <c r="B6" s="348" t="s">
        <v>301</v>
      </c>
      <c r="C6" s="364">
        <v>17550</v>
      </c>
      <c r="D6" s="364">
        <v>11895</v>
      </c>
      <c r="E6" s="152">
        <v>16200</v>
      </c>
      <c r="F6" s="354">
        <f t="shared" si="0"/>
        <v>45645</v>
      </c>
      <c r="G6" s="152">
        <v>0</v>
      </c>
      <c r="H6" s="152">
        <v>0</v>
      </c>
      <c r="I6" s="152">
        <v>0</v>
      </c>
      <c r="J6" s="354">
        <f t="shared" si="1"/>
        <v>0</v>
      </c>
      <c r="K6" s="355">
        <v>4.9800000000000004</v>
      </c>
      <c r="L6" s="145"/>
      <c r="M6" s="356">
        <v>0.26847457627118637</v>
      </c>
      <c r="N6" s="357">
        <v>12254.522033898302</v>
      </c>
      <c r="O6" s="358">
        <v>26570.074144699363</v>
      </c>
      <c r="P6" s="359">
        <v>0.58210262120055567</v>
      </c>
      <c r="Q6" s="145"/>
      <c r="R6" s="145" t="s">
        <v>299</v>
      </c>
      <c r="S6" s="360">
        <v>0.31</v>
      </c>
      <c r="T6" s="358">
        <v>14149.95</v>
      </c>
      <c r="U6" s="145"/>
      <c r="V6" s="365">
        <f t="shared" si="2"/>
        <v>5.8721026212005558</v>
      </c>
      <c r="W6" s="361">
        <f t="shared" si="3"/>
        <v>268032.12414469937</v>
      </c>
      <c r="X6" s="361">
        <f t="shared" si="4"/>
        <v>0</v>
      </c>
      <c r="Y6" s="361">
        <v>268032.12414469937</v>
      </c>
      <c r="Z6" s="362"/>
    </row>
    <row r="7" spans="1:27" x14ac:dyDescent="0.3">
      <c r="A7" s="98">
        <v>2003</v>
      </c>
      <c r="B7" s="348" t="s">
        <v>302</v>
      </c>
      <c r="C7" s="364">
        <v>4095</v>
      </c>
      <c r="D7" s="364">
        <v>3120</v>
      </c>
      <c r="E7" s="152">
        <v>3780</v>
      </c>
      <c r="F7" s="354">
        <f t="shared" si="0"/>
        <v>10995</v>
      </c>
      <c r="G7" s="152">
        <v>585</v>
      </c>
      <c r="H7" s="152">
        <v>585</v>
      </c>
      <c r="I7" s="152">
        <v>540</v>
      </c>
      <c r="J7" s="354">
        <f t="shared" si="1"/>
        <v>1710</v>
      </c>
      <c r="K7" s="355">
        <v>4.9800000000000004</v>
      </c>
      <c r="L7" s="145"/>
      <c r="M7" s="356">
        <v>0.19150000000000011</v>
      </c>
      <c r="N7" s="357">
        <v>2105.5425000000014</v>
      </c>
      <c r="O7" s="358">
        <v>4565.2062304072697</v>
      </c>
      <c r="P7" s="359">
        <v>0.41520747889106591</v>
      </c>
      <c r="Q7" s="145"/>
      <c r="R7" s="145" t="s">
        <v>303</v>
      </c>
      <c r="S7" s="360">
        <v>0</v>
      </c>
      <c r="T7" s="358">
        <v>0</v>
      </c>
      <c r="U7" s="145"/>
      <c r="V7" s="365">
        <f t="shared" si="2"/>
        <v>5.3952074788910664</v>
      </c>
      <c r="W7" s="361">
        <f t="shared" si="3"/>
        <v>59320.306230407274</v>
      </c>
      <c r="X7" s="361">
        <f t="shared" si="4"/>
        <v>9225.8047889037243</v>
      </c>
      <c r="Y7" s="361">
        <v>59320.306230407274</v>
      </c>
      <c r="Z7" s="362"/>
    </row>
    <row r="8" spans="1:27" x14ac:dyDescent="0.3">
      <c r="A8" s="98">
        <v>2002</v>
      </c>
      <c r="B8" s="348" t="s">
        <v>304</v>
      </c>
      <c r="C8" s="364">
        <v>7410</v>
      </c>
      <c r="D8" s="364">
        <v>4485</v>
      </c>
      <c r="E8" s="152">
        <v>7560</v>
      </c>
      <c r="F8" s="354">
        <f t="shared" si="0"/>
        <v>19455</v>
      </c>
      <c r="G8" s="152">
        <v>0</v>
      </c>
      <c r="H8" s="152">
        <v>0</v>
      </c>
      <c r="I8" s="152">
        <v>0</v>
      </c>
      <c r="J8" s="354">
        <f t="shared" si="1"/>
        <v>0</v>
      </c>
      <c r="K8" s="355">
        <v>4.9800000000000004</v>
      </c>
      <c r="L8" s="145"/>
      <c r="M8" s="356">
        <v>0.30868421052631573</v>
      </c>
      <c r="N8" s="357">
        <v>6005.4513157894726</v>
      </c>
      <c r="O8" s="358">
        <v>13020.931072751853</v>
      </c>
      <c r="P8" s="359">
        <v>0.66928455783869711</v>
      </c>
      <c r="Q8" s="145"/>
      <c r="R8" s="145" t="s">
        <v>299</v>
      </c>
      <c r="S8" s="360">
        <v>0.31</v>
      </c>
      <c r="T8" s="358">
        <v>6031.05</v>
      </c>
      <c r="U8" s="145"/>
      <c r="V8" s="365">
        <f t="shared" si="2"/>
        <v>5.9592845578386973</v>
      </c>
      <c r="W8" s="361">
        <f t="shared" si="3"/>
        <v>115937.88107275186</v>
      </c>
      <c r="X8" s="361">
        <f t="shared" si="4"/>
        <v>0</v>
      </c>
      <c r="Y8" s="361">
        <v>115937.88107275186</v>
      </c>
      <c r="Z8" s="362"/>
    </row>
    <row r="9" spans="1:27" x14ac:dyDescent="0.3">
      <c r="A9" s="98">
        <v>3300</v>
      </c>
      <c r="B9" s="348" t="s">
        <v>305</v>
      </c>
      <c r="C9" s="364">
        <v>2925</v>
      </c>
      <c r="D9" s="364">
        <v>2145</v>
      </c>
      <c r="E9" s="152">
        <v>2700</v>
      </c>
      <c r="F9" s="354">
        <f t="shared" si="0"/>
        <v>7770</v>
      </c>
      <c r="G9" s="152">
        <v>1560</v>
      </c>
      <c r="H9" s="152">
        <v>975</v>
      </c>
      <c r="I9" s="152">
        <v>720</v>
      </c>
      <c r="J9" s="354">
        <f t="shared" si="1"/>
        <v>3255</v>
      </c>
      <c r="K9" s="355">
        <v>4.9800000000000004</v>
      </c>
      <c r="L9" s="145"/>
      <c r="M9" s="356">
        <v>0.14106382978723406</v>
      </c>
      <c r="N9" s="357">
        <v>1096.0659574468086</v>
      </c>
      <c r="O9" s="358">
        <v>2376.4740620877883</v>
      </c>
      <c r="P9" s="359">
        <v>0.30585251764321597</v>
      </c>
      <c r="Q9" s="145"/>
      <c r="R9" s="145" t="s">
        <v>303</v>
      </c>
      <c r="S9" s="360">
        <v>0</v>
      </c>
      <c r="T9" s="358">
        <v>0</v>
      </c>
      <c r="U9" s="145"/>
      <c r="V9" s="365">
        <f t="shared" si="2"/>
        <v>5.2858525176432165</v>
      </c>
      <c r="W9" s="361">
        <f t="shared" si="3"/>
        <v>41071.074062087791</v>
      </c>
      <c r="X9" s="361">
        <f t="shared" si="4"/>
        <v>17205.44994492867</v>
      </c>
      <c r="Y9" s="361">
        <v>57280.974062087793</v>
      </c>
      <c r="Z9" s="362"/>
    </row>
    <row r="10" spans="1:27" x14ac:dyDescent="0.3">
      <c r="A10" s="98">
        <v>5206</v>
      </c>
      <c r="B10" s="348" t="s">
        <v>306</v>
      </c>
      <c r="C10" s="364">
        <v>12090</v>
      </c>
      <c r="D10" s="364">
        <v>7605</v>
      </c>
      <c r="E10" s="152">
        <v>11520</v>
      </c>
      <c r="F10" s="354">
        <f t="shared" si="0"/>
        <v>31215</v>
      </c>
      <c r="G10" s="152">
        <v>3120</v>
      </c>
      <c r="H10" s="152">
        <v>1755</v>
      </c>
      <c r="I10" s="152">
        <v>2880</v>
      </c>
      <c r="J10" s="354">
        <f t="shared" si="1"/>
        <v>7755</v>
      </c>
      <c r="K10" s="355">
        <v>4.9800000000000004</v>
      </c>
      <c r="L10" s="145"/>
      <c r="M10" s="356">
        <v>0.25510204081632659</v>
      </c>
      <c r="N10" s="357">
        <v>7963.0102040816346</v>
      </c>
      <c r="O10" s="358">
        <v>17265.281416295384</v>
      </c>
      <c r="P10" s="359">
        <v>0.55310848682669822</v>
      </c>
      <c r="Q10" s="145"/>
      <c r="R10" s="145" t="s">
        <v>299</v>
      </c>
      <c r="S10" s="360">
        <v>0.31</v>
      </c>
      <c r="T10" s="358">
        <v>12080.7</v>
      </c>
      <c r="U10" s="145"/>
      <c r="V10" s="365">
        <f t="shared" si="2"/>
        <v>5.843108486826698</v>
      </c>
      <c r="W10" s="361">
        <f t="shared" si="3"/>
        <v>182392.63141629539</v>
      </c>
      <c r="X10" s="361">
        <f t="shared" si="4"/>
        <v>45313.30631534104</v>
      </c>
      <c r="Y10" s="361">
        <v>223416.5814162954</v>
      </c>
      <c r="Z10" s="362"/>
    </row>
    <row r="11" spans="1:27" x14ac:dyDescent="0.3">
      <c r="A11" s="98">
        <v>2084</v>
      </c>
      <c r="B11" s="348" t="s">
        <v>56</v>
      </c>
      <c r="C11" s="364">
        <v>13260</v>
      </c>
      <c r="D11" s="364">
        <v>8385</v>
      </c>
      <c r="E11" s="152">
        <v>8820</v>
      </c>
      <c r="F11" s="354">
        <f t="shared" si="0"/>
        <v>30465</v>
      </c>
      <c r="G11" s="152">
        <v>1830</v>
      </c>
      <c r="H11" s="152">
        <v>2340</v>
      </c>
      <c r="I11" s="152">
        <v>3240</v>
      </c>
      <c r="J11" s="354">
        <f t="shared" si="1"/>
        <v>7410</v>
      </c>
      <c r="K11" s="355">
        <v>4.9800000000000004</v>
      </c>
      <c r="L11" s="145"/>
      <c r="M11" s="356">
        <v>0.29596638655462199</v>
      </c>
      <c r="N11" s="357">
        <v>9016.6159663865583</v>
      </c>
      <c r="O11" s="358">
        <v>19549.693908784819</v>
      </c>
      <c r="P11" s="359">
        <v>0.64170995925766683</v>
      </c>
      <c r="Q11" s="145"/>
      <c r="R11" s="145" t="s">
        <v>299</v>
      </c>
      <c r="S11" s="360">
        <v>0.31</v>
      </c>
      <c r="T11" s="358">
        <v>11741.25</v>
      </c>
      <c r="U11" s="145"/>
      <c r="V11" s="365">
        <f t="shared" si="2"/>
        <v>5.9317099592576668</v>
      </c>
      <c r="W11" s="361">
        <f t="shared" si="3"/>
        <v>180709.54390878481</v>
      </c>
      <c r="X11" s="361">
        <f t="shared" si="4"/>
        <v>43953.970798099312</v>
      </c>
      <c r="Y11" s="361">
        <v>219908.44390878483</v>
      </c>
      <c r="Z11" s="362"/>
    </row>
    <row r="12" spans="1:27" x14ac:dyDescent="0.3">
      <c r="A12" s="98">
        <v>2010</v>
      </c>
      <c r="B12" s="348" t="s">
        <v>307</v>
      </c>
      <c r="C12" s="364">
        <v>12090</v>
      </c>
      <c r="D12" s="364">
        <v>10140</v>
      </c>
      <c r="E12" s="152">
        <v>11160</v>
      </c>
      <c r="F12" s="354">
        <f t="shared" si="0"/>
        <v>33390</v>
      </c>
      <c r="G12" s="152">
        <v>4680</v>
      </c>
      <c r="H12" s="152">
        <v>3120</v>
      </c>
      <c r="I12" s="152">
        <v>3420</v>
      </c>
      <c r="J12" s="354">
        <f t="shared" si="1"/>
        <v>11220</v>
      </c>
      <c r="K12" s="355">
        <v>4.9800000000000004</v>
      </c>
      <c r="L12" s="145"/>
      <c r="M12" s="356">
        <v>0.27589999999999981</v>
      </c>
      <c r="N12" s="357">
        <v>9212.300999999994</v>
      </c>
      <c r="O12" s="358">
        <v>19973.975315904128</v>
      </c>
      <c r="P12" s="359">
        <v>0.59820231554070469</v>
      </c>
      <c r="Q12" s="145"/>
      <c r="R12" s="145" t="s">
        <v>299</v>
      </c>
      <c r="S12" s="360">
        <v>0.31</v>
      </c>
      <c r="T12" s="358">
        <v>13829.1</v>
      </c>
      <c r="U12" s="145"/>
      <c r="V12" s="365">
        <f t="shared" si="2"/>
        <v>5.8882023155407044</v>
      </c>
      <c r="W12" s="361">
        <f t="shared" si="3"/>
        <v>196607.07531590411</v>
      </c>
      <c r="X12" s="361">
        <f t="shared" si="4"/>
        <v>66065.629980366706</v>
      </c>
      <c r="Y12" s="361">
        <v>255960.87531590415</v>
      </c>
      <c r="Z12" s="362"/>
    </row>
    <row r="13" spans="1:27" x14ac:dyDescent="0.3">
      <c r="A13" s="98">
        <v>2012</v>
      </c>
      <c r="B13" s="348" t="s">
        <v>308</v>
      </c>
      <c r="C13" s="364">
        <v>11115</v>
      </c>
      <c r="D13" s="364">
        <v>7995</v>
      </c>
      <c r="E13" s="152">
        <v>10260</v>
      </c>
      <c r="F13" s="354">
        <f t="shared" si="0"/>
        <v>29370</v>
      </c>
      <c r="G13" s="152">
        <v>2730</v>
      </c>
      <c r="H13" s="152">
        <v>1950</v>
      </c>
      <c r="I13" s="152">
        <v>2340</v>
      </c>
      <c r="J13" s="354">
        <f t="shared" si="1"/>
        <v>7020</v>
      </c>
      <c r="K13" s="355">
        <v>4.9800000000000004</v>
      </c>
      <c r="L13" s="145"/>
      <c r="M13" s="356">
        <v>0.15199999999999983</v>
      </c>
      <c r="N13" s="357">
        <v>4464.2399999999952</v>
      </c>
      <c r="O13" s="358">
        <v>9679.2994024263662</v>
      </c>
      <c r="P13" s="359">
        <v>0.3295641607908194</v>
      </c>
      <c r="Q13" s="145"/>
      <c r="R13" s="145" t="s">
        <v>303</v>
      </c>
      <c r="S13" s="360">
        <v>0</v>
      </c>
      <c r="T13" s="358">
        <v>0</v>
      </c>
      <c r="U13" s="145"/>
      <c r="V13" s="365">
        <f t="shared" si="2"/>
        <v>5.3095641607908197</v>
      </c>
      <c r="W13" s="361">
        <f t="shared" si="3"/>
        <v>155941.89940242638</v>
      </c>
      <c r="X13" s="361">
        <f t="shared" si="4"/>
        <v>37273.140408751555</v>
      </c>
      <c r="Y13" s="361">
        <v>190901.49940242639</v>
      </c>
      <c r="Z13" s="362"/>
    </row>
    <row r="14" spans="1:27" x14ac:dyDescent="0.3">
      <c r="A14" s="98">
        <v>3410</v>
      </c>
      <c r="B14" s="348" t="s">
        <v>309</v>
      </c>
      <c r="C14" s="364">
        <v>6240</v>
      </c>
      <c r="D14" s="364">
        <v>4290</v>
      </c>
      <c r="E14" s="152">
        <v>7020</v>
      </c>
      <c r="F14" s="354">
        <f t="shared" si="0"/>
        <v>17550</v>
      </c>
      <c r="G14" s="152">
        <v>1170</v>
      </c>
      <c r="H14" s="152">
        <v>1170</v>
      </c>
      <c r="I14" s="152">
        <v>1080</v>
      </c>
      <c r="J14" s="354">
        <f t="shared" si="1"/>
        <v>3420</v>
      </c>
      <c r="K14" s="355">
        <v>4.9800000000000004</v>
      </c>
      <c r="L14" s="145"/>
      <c r="M14" s="356">
        <v>0.25600000000000006</v>
      </c>
      <c r="N14" s="357">
        <v>4492.8000000000011</v>
      </c>
      <c r="O14" s="358">
        <v>9741.2227736907589</v>
      </c>
      <c r="P14" s="359">
        <v>0.55505542870032809</v>
      </c>
      <c r="Q14" s="145"/>
      <c r="R14" s="145" t="s">
        <v>299</v>
      </c>
      <c r="S14" s="360">
        <v>0.31</v>
      </c>
      <c r="T14" s="358">
        <v>6500.7</v>
      </c>
      <c r="U14" s="145"/>
      <c r="V14" s="365">
        <f t="shared" si="2"/>
        <v>5.845055428700328</v>
      </c>
      <c r="W14" s="361">
        <f t="shared" si="3"/>
        <v>102580.72277369075</v>
      </c>
      <c r="X14" s="361">
        <f t="shared" si="4"/>
        <v>19990.089566155122</v>
      </c>
      <c r="Y14" s="361">
        <v>120672.52277369078</v>
      </c>
      <c r="Z14" s="362"/>
    </row>
    <row r="15" spans="1:27" x14ac:dyDescent="0.3">
      <c r="A15" s="98">
        <v>2078</v>
      </c>
      <c r="B15" s="348" t="s">
        <v>310</v>
      </c>
      <c r="C15" s="364">
        <v>21255</v>
      </c>
      <c r="D15" s="364">
        <v>16965</v>
      </c>
      <c r="E15" s="152">
        <v>18900</v>
      </c>
      <c r="F15" s="354">
        <f t="shared" si="0"/>
        <v>57120</v>
      </c>
      <c r="G15" s="152">
        <v>1950</v>
      </c>
      <c r="H15" s="152">
        <v>1755</v>
      </c>
      <c r="I15" s="152">
        <v>1800</v>
      </c>
      <c r="J15" s="354">
        <f t="shared" si="1"/>
        <v>5505</v>
      </c>
      <c r="K15" s="355">
        <v>4.9800000000000004</v>
      </c>
      <c r="L15" s="145"/>
      <c r="M15" s="356">
        <v>0.2804545454545454</v>
      </c>
      <c r="N15" s="357">
        <v>16019.563636363633</v>
      </c>
      <c r="O15" s="358">
        <v>34733.381881929694</v>
      </c>
      <c r="P15" s="359">
        <v>0.60807741389932934</v>
      </c>
      <c r="Q15" s="145"/>
      <c r="R15" s="145" t="s">
        <v>299</v>
      </c>
      <c r="S15" s="360">
        <v>0.31</v>
      </c>
      <c r="T15" s="358">
        <v>19413.75</v>
      </c>
      <c r="U15" s="145"/>
      <c r="V15" s="365">
        <f t="shared" si="2"/>
        <v>5.8980774138993297</v>
      </c>
      <c r="W15" s="361">
        <f t="shared" si="3"/>
        <v>336898.18188192969</v>
      </c>
      <c r="X15" s="361">
        <f t="shared" si="4"/>
        <v>32468.916163515809</v>
      </c>
      <c r="Y15" s="361">
        <v>366019.63188192976</v>
      </c>
      <c r="Z15" s="362"/>
    </row>
    <row r="16" spans="1:27" x14ac:dyDescent="0.3">
      <c r="A16" s="98">
        <v>2016</v>
      </c>
      <c r="B16" s="348" t="s">
        <v>311</v>
      </c>
      <c r="C16" s="364">
        <v>16965</v>
      </c>
      <c r="D16" s="364">
        <v>12090</v>
      </c>
      <c r="E16" s="152">
        <v>15660</v>
      </c>
      <c r="F16" s="354">
        <f t="shared" si="0"/>
        <v>44715</v>
      </c>
      <c r="G16" s="152">
        <v>6045</v>
      </c>
      <c r="H16" s="152">
        <v>5850</v>
      </c>
      <c r="I16" s="152">
        <v>7020</v>
      </c>
      <c r="J16" s="354">
        <f t="shared" si="1"/>
        <v>18915</v>
      </c>
      <c r="K16" s="355">
        <v>4.9800000000000004</v>
      </c>
      <c r="L16" s="145"/>
      <c r="M16" s="356">
        <v>0.16814516129032267</v>
      </c>
      <c r="N16" s="357">
        <v>7518.6108870967782</v>
      </c>
      <c r="O16" s="358">
        <v>16301.74136393928</v>
      </c>
      <c r="P16" s="359">
        <v>0.36456986165580407</v>
      </c>
      <c r="Q16" s="145"/>
      <c r="R16" s="145" t="s">
        <v>303</v>
      </c>
      <c r="S16" s="360">
        <v>0</v>
      </c>
      <c r="T16" s="358">
        <v>0</v>
      </c>
      <c r="U16" s="145"/>
      <c r="V16" s="365">
        <f t="shared" si="2"/>
        <v>5.3445698616558044</v>
      </c>
      <c r="W16" s="361">
        <f t="shared" si="3"/>
        <v>238982.44136393929</v>
      </c>
      <c r="X16" s="361">
        <f t="shared" si="4"/>
        <v>101092.53893321953</v>
      </c>
      <c r="Y16" s="361">
        <v>333179.14136393927</v>
      </c>
      <c r="Z16" s="362"/>
    </row>
    <row r="17" spans="1:27" x14ac:dyDescent="0.3">
      <c r="A17" s="98">
        <v>3307</v>
      </c>
      <c r="B17" s="348" t="s">
        <v>312</v>
      </c>
      <c r="C17" s="364">
        <v>8385</v>
      </c>
      <c r="D17" s="364">
        <v>8190</v>
      </c>
      <c r="E17" s="152">
        <v>7560</v>
      </c>
      <c r="F17" s="354">
        <f t="shared" si="0"/>
        <v>24135</v>
      </c>
      <c r="G17" s="152">
        <v>2340</v>
      </c>
      <c r="H17" s="152">
        <v>3120</v>
      </c>
      <c r="I17" s="152">
        <v>3060</v>
      </c>
      <c r="J17" s="354">
        <f t="shared" si="1"/>
        <v>8520</v>
      </c>
      <c r="K17" s="355">
        <v>4.9800000000000004</v>
      </c>
      <c r="L17" s="145"/>
      <c r="M17" s="356">
        <v>0.26785714285714296</v>
      </c>
      <c r="N17" s="357">
        <v>6464.7321428571449</v>
      </c>
      <c r="O17" s="358">
        <v>14016.736996040479</v>
      </c>
      <c r="P17" s="359">
        <v>0.58076391116803316</v>
      </c>
      <c r="Q17" s="145"/>
      <c r="R17" s="145" t="s">
        <v>299</v>
      </c>
      <c r="S17" s="360">
        <v>0.31</v>
      </c>
      <c r="T17" s="358">
        <v>10123.049999999999</v>
      </c>
      <c r="U17" s="145"/>
      <c r="V17" s="365">
        <f t="shared" si="2"/>
        <v>5.8707639111680328</v>
      </c>
      <c r="W17" s="361">
        <f t="shared" si="3"/>
        <v>141690.88699604047</v>
      </c>
      <c r="X17" s="361">
        <f t="shared" si="4"/>
        <v>50018.908523151636</v>
      </c>
      <c r="Y17" s="361">
        <v>186761.68699604049</v>
      </c>
      <c r="Z17" s="362"/>
    </row>
    <row r="18" spans="1:27" x14ac:dyDescent="0.3">
      <c r="A18" s="98">
        <v>2019</v>
      </c>
      <c r="B18" s="348" t="s">
        <v>313</v>
      </c>
      <c r="C18" s="364">
        <v>15600</v>
      </c>
      <c r="D18" s="364">
        <v>12870</v>
      </c>
      <c r="E18" s="152">
        <v>14400</v>
      </c>
      <c r="F18" s="354">
        <f t="shared" si="0"/>
        <v>42870</v>
      </c>
      <c r="G18" s="152">
        <v>5850</v>
      </c>
      <c r="H18" s="152">
        <v>4095</v>
      </c>
      <c r="I18" s="152">
        <v>5040</v>
      </c>
      <c r="J18" s="354">
        <f t="shared" si="1"/>
        <v>14985</v>
      </c>
      <c r="K18" s="355">
        <v>4.9800000000000004</v>
      </c>
      <c r="L18" s="145"/>
      <c r="M18" s="356">
        <v>0.14444444444444449</v>
      </c>
      <c r="N18" s="357">
        <v>6192.3333333333348</v>
      </c>
      <c r="O18" s="358">
        <v>13426.125910111974</v>
      </c>
      <c r="P18" s="359">
        <v>0.31318231654098377</v>
      </c>
      <c r="Q18" s="145"/>
      <c r="R18" s="145" t="s">
        <v>303</v>
      </c>
      <c r="S18" s="360">
        <v>0</v>
      </c>
      <c r="T18" s="358">
        <v>0</v>
      </c>
      <c r="U18" s="145"/>
      <c r="V18" s="365">
        <f t="shared" si="2"/>
        <v>5.2931823165409844</v>
      </c>
      <c r="W18" s="361">
        <f t="shared" si="3"/>
        <v>226918.725910112</v>
      </c>
      <c r="X18" s="361">
        <f t="shared" si="4"/>
        <v>79318.337013366647</v>
      </c>
      <c r="Y18" s="361">
        <v>301544.02591011196</v>
      </c>
      <c r="Z18" s="362"/>
    </row>
    <row r="19" spans="1:27" x14ac:dyDescent="0.3">
      <c r="A19" s="98">
        <v>2076</v>
      </c>
      <c r="B19" s="348" t="s">
        <v>314</v>
      </c>
      <c r="C19" s="364">
        <v>4875</v>
      </c>
      <c r="D19" s="364">
        <v>5655</v>
      </c>
      <c r="E19" s="152">
        <v>4500</v>
      </c>
      <c r="F19" s="354">
        <f t="shared" si="0"/>
        <v>15030</v>
      </c>
      <c r="G19" s="152">
        <v>1365</v>
      </c>
      <c r="H19" s="152">
        <v>1560</v>
      </c>
      <c r="I19" s="152">
        <v>1440</v>
      </c>
      <c r="J19" s="354">
        <f t="shared" si="1"/>
        <v>4365</v>
      </c>
      <c r="K19" s="355">
        <v>4.9800000000000004</v>
      </c>
      <c r="L19" s="145"/>
      <c r="M19" s="356">
        <v>0.12509433962264155</v>
      </c>
      <c r="N19" s="357">
        <v>1880.1679245283024</v>
      </c>
      <c r="O19" s="358">
        <v>4076.5523960064952</v>
      </c>
      <c r="P19" s="359">
        <v>0.27122770432511611</v>
      </c>
      <c r="Q19" s="145"/>
      <c r="R19" s="145" t="s">
        <v>303</v>
      </c>
      <c r="S19" s="360">
        <v>0</v>
      </c>
      <c r="T19" s="358">
        <v>0</v>
      </c>
      <c r="U19" s="145"/>
      <c r="V19" s="365">
        <f t="shared" si="2"/>
        <v>5.2512277043251165</v>
      </c>
      <c r="W19" s="361">
        <f t="shared" si="3"/>
        <v>78925.952396006498</v>
      </c>
      <c r="X19" s="361">
        <f t="shared" si="4"/>
        <v>22921.608929379134</v>
      </c>
      <c r="Y19" s="361">
        <v>100663.6523960065</v>
      </c>
      <c r="Z19" s="362"/>
    </row>
    <row r="20" spans="1:27" x14ac:dyDescent="0.3">
      <c r="A20" s="98">
        <v>2020</v>
      </c>
      <c r="B20" s="348" t="s">
        <v>315</v>
      </c>
      <c r="C20" s="364">
        <v>11115</v>
      </c>
      <c r="D20" s="364">
        <v>9750</v>
      </c>
      <c r="E20" s="152">
        <v>10260</v>
      </c>
      <c r="F20" s="354">
        <f t="shared" si="0"/>
        <v>31125</v>
      </c>
      <c r="G20" s="152">
        <v>2409</v>
      </c>
      <c r="H20" s="152">
        <v>3315.5</v>
      </c>
      <c r="I20" s="152">
        <v>4140</v>
      </c>
      <c r="J20" s="354">
        <f t="shared" si="1"/>
        <v>9864.5</v>
      </c>
      <c r="K20" s="355">
        <v>4.9800000000000004</v>
      </c>
      <c r="L20" s="145"/>
      <c r="M20" s="356">
        <v>0.1085227272727273</v>
      </c>
      <c r="N20" s="357">
        <v>3377.7698863636369</v>
      </c>
      <c r="O20" s="358">
        <v>7323.630907525885</v>
      </c>
      <c r="P20" s="359">
        <v>0.23529737855504851</v>
      </c>
      <c r="Q20" s="145"/>
      <c r="R20" s="145" t="s">
        <v>303</v>
      </c>
      <c r="S20" s="360">
        <v>0</v>
      </c>
      <c r="T20" s="358">
        <v>0</v>
      </c>
      <c r="U20" s="145"/>
      <c r="V20" s="365">
        <f t="shared" si="2"/>
        <v>5.2152973785550492</v>
      </c>
      <c r="W20" s="361">
        <f t="shared" si="3"/>
        <v>162326.13090752589</v>
      </c>
      <c r="X20" s="361">
        <f t="shared" si="4"/>
        <v>51446.300990756281</v>
      </c>
      <c r="Y20" s="361">
        <v>211451.34090752591</v>
      </c>
      <c r="Z20" s="362"/>
    </row>
    <row r="21" spans="1:27" x14ac:dyDescent="0.3">
      <c r="A21" s="98">
        <v>5203</v>
      </c>
      <c r="B21" s="348" t="s">
        <v>316</v>
      </c>
      <c r="C21" s="364">
        <v>21645</v>
      </c>
      <c r="D21" s="364">
        <v>16770</v>
      </c>
      <c r="E21" s="152">
        <v>20160</v>
      </c>
      <c r="F21" s="354">
        <f t="shared" si="0"/>
        <v>58575</v>
      </c>
      <c r="G21" s="152">
        <v>0</v>
      </c>
      <c r="H21" s="152">
        <v>0</v>
      </c>
      <c r="I21" s="152">
        <v>0</v>
      </c>
      <c r="J21" s="354">
        <f t="shared" si="1"/>
        <v>0</v>
      </c>
      <c r="K21" s="355">
        <v>4.9800000000000004</v>
      </c>
      <c r="L21" s="145"/>
      <c r="M21" s="356">
        <v>0.23193103448275867</v>
      </c>
      <c r="N21" s="357">
        <v>13585.36034482759</v>
      </c>
      <c r="O21" s="358">
        <v>29455.578165026225</v>
      </c>
      <c r="P21" s="359">
        <v>0.50286945224116475</v>
      </c>
      <c r="Q21" s="145"/>
      <c r="R21" s="145" t="s">
        <v>303</v>
      </c>
      <c r="S21" s="360">
        <v>0</v>
      </c>
      <c r="T21" s="358">
        <v>0</v>
      </c>
      <c r="U21" s="145"/>
      <c r="V21" s="365">
        <f t="shared" si="2"/>
        <v>5.4828694522411654</v>
      </c>
      <c r="W21" s="361">
        <f t="shared" si="3"/>
        <v>321159.07816502627</v>
      </c>
      <c r="X21" s="361">
        <f t="shared" si="4"/>
        <v>0</v>
      </c>
      <c r="Y21" s="361">
        <v>321159.07816502621</v>
      </c>
      <c r="Z21" s="362"/>
    </row>
    <row r="22" spans="1:27" x14ac:dyDescent="0.3">
      <c r="A22" s="98">
        <v>4654</v>
      </c>
      <c r="B22" s="348" t="s">
        <v>87</v>
      </c>
      <c r="C22" s="364">
        <v>11310</v>
      </c>
      <c r="D22" s="364">
        <v>11310</v>
      </c>
      <c r="E22" s="152">
        <v>9720</v>
      </c>
      <c r="F22" s="354">
        <f t="shared" si="0"/>
        <v>32340</v>
      </c>
      <c r="G22" s="152">
        <v>0</v>
      </c>
      <c r="H22" s="152">
        <v>0</v>
      </c>
      <c r="I22" s="152">
        <v>0</v>
      </c>
      <c r="J22" s="354">
        <f t="shared" si="1"/>
        <v>0</v>
      </c>
      <c r="K22" s="355">
        <v>4.9800000000000004</v>
      </c>
      <c r="L22" s="145"/>
      <c r="M22" s="356">
        <v>0.24804347826086953</v>
      </c>
      <c r="N22" s="357">
        <v>8021.7260869565207</v>
      </c>
      <c r="O22" s="358">
        <v>17392.588328563499</v>
      </c>
      <c r="P22" s="359">
        <v>0.53780421547815394</v>
      </c>
      <c r="Q22" s="145"/>
      <c r="R22" s="145" t="s">
        <v>303</v>
      </c>
      <c r="S22" s="360">
        <v>0</v>
      </c>
      <c r="T22" s="358">
        <v>0</v>
      </c>
      <c r="U22" s="145"/>
      <c r="V22" s="365">
        <f t="shared" si="2"/>
        <v>5.5178042154781544</v>
      </c>
      <c r="W22" s="361">
        <f t="shared" si="3"/>
        <v>178445.7883285635</v>
      </c>
      <c r="X22" s="361">
        <f t="shared" si="4"/>
        <v>0</v>
      </c>
      <c r="Y22" s="361">
        <v>178445.7883285635</v>
      </c>
      <c r="Z22" s="362"/>
      <c r="AA22" s="3"/>
    </row>
    <row r="23" spans="1:27" x14ac:dyDescent="0.3">
      <c r="A23" s="98">
        <v>2024</v>
      </c>
      <c r="B23" s="348" t="s">
        <v>317</v>
      </c>
      <c r="C23" s="364">
        <v>9165</v>
      </c>
      <c r="D23" s="364">
        <v>7020</v>
      </c>
      <c r="E23" s="152">
        <v>8460</v>
      </c>
      <c r="F23" s="354">
        <f t="shared" si="0"/>
        <v>24645</v>
      </c>
      <c r="G23" s="152">
        <v>4290</v>
      </c>
      <c r="H23" s="152">
        <v>2535</v>
      </c>
      <c r="I23" s="152">
        <v>3420</v>
      </c>
      <c r="J23" s="354">
        <f t="shared" si="1"/>
        <v>10245</v>
      </c>
      <c r="K23" s="355">
        <v>4.9800000000000004</v>
      </c>
      <c r="L23" s="145"/>
      <c r="M23" s="356">
        <v>0.1832926829268291</v>
      </c>
      <c r="N23" s="357">
        <v>4517.2481707317029</v>
      </c>
      <c r="O23" s="358">
        <v>9794.2309373095995</v>
      </c>
      <c r="P23" s="359">
        <v>0.39741249492025155</v>
      </c>
      <c r="Q23" s="145"/>
      <c r="R23" s="145" t="s">
        <v>303</v>
      </c>
      <c r="S23" s="360">
        <v>0</v>
      </c>
      <c r="T23" s="358">
        <v>0</v>
      </c>
      <c r="U23" s="145"/>
      <c r="V23" s="365">
        <f t="shared" si="2"/>
        <v>5.377412494920252</v>
      </c>
      <c r="W23" s="361">
        <f t="shared" si="3"/>
        <v>132526.3309373096</v>
      </c>
      <c r="X23" s="361">
        <f t="shared" si="4"/>
        <v>55091.591010457982</v>
      </c>
      <c r="Y23" s="361">
        <v>183546.4309373096</v>
      </c>
      <c r="Z23" s="362"/>
    </row>
    <row r="24" spans="1:27" x14ac:dyDescent="0.3">
      <c r="A24" s="98">
        <v>2025</v>
      </c>
      <c r="B24" s="348" t="s">
        <v>318</v>
      </c>
      <c r="C24" s="364">
        <v>8970</v>
      </c>
      <c r="D24" s="364">
        <v>7605</v>
      </c>
      <c r="E24" s="152">
        <v>8280</v>
      </c>
      <c r="F24" s="354">
        <f t="shared" si="0"/>
        <v>24855</v>
      </c>
      <c r="G24" s="152">
        <v>0</v>
      </c>
      <c r="H24" s="152">
        <v>0</v>
      </c>
      <c r="I24" s="152">
        <v>0</v>
      </c>
      <c r="J24" s="354">
        <f t="shared" si="1"/>
        <v>0</v>
      </c>
      <c r="K24" s="355">
        <v>4.9800000000000004</v>
      </c>
      <c r="L24" s="145"/>
      <c r="M24" s="356">
        <v>0.14842105263157893</v>
      </c>
      <c r="N24" s="357">
        <v>3689.0052631578942</v>
      </c>
      <c r="O24" s="358">
        <v>7998.4468664838723</v>
      </c>
      <c r="P24" s="359">
        <v>0.32180433983037104</v>
      </c>
      <c r="Q24" s="145"/>
      <c r="R24" s="145" t="s">
        <v>303</v>
      </c>
      <c r="S24" s="360">
        <v>0</v>
      </c>
      <c r="T24" s="358">
        <v>0</v>
      </c>
      <c r="U24" s="145"/>
      <c r="V24" s="365">
        <f t="shared" si="2"/>
        <v>5.3018043398303716</v>
      </c>
      <c r="W24" s="361">
        <f t="shared" si="3"/>
        <v>131776.34686648389</v>
      </c>
      <c r="X24" s="361">
        <f t="shared" si="4"/>
        <v>0</v>
      </c>
      <c r="Y24" s="361">
        <v>131776.34686648389</v>
      </c>
      <c r="Z24" s="362"/>
    </row>
    <row r="25" spans="1:27" x14ac:dyDescent="0.3">
      <c r="A25" s="98">
        <v>2026</v>
      </c>
      <c r="B25" s="348" t="s">
        <v>319</v>
      </c>
      <c r="C25" s="364">
        <v>4095</v>
      </c>
      <c r="D25" s="364">
        <v>3510</v>
      </c>
      <c r="E25" s="152">
        <v>3780</v>
      </c>
      <c r="F25" s="354">
        <f t="shared" si="0"/>
        <v>11385</v>
      </c>
      <c r="G25" s="152">
        <v>0</v>
      </c>
      <c r="H25" s="152">
        <v>0</v>
      </c>
      <c r="I25" s="152">
        <v>0</v>
      </c>
      <c r="J25" s="354">
        <f t="shared" si="1"/>
        <v>0</v>
      </c>
      <c r="K25" s="355">
        <v>4.9800000000000004</v>
      </c>
      <c r="L25" s="145"/>
      <c r="M25" s="356">
        <v>0.26073170731707312</v>
      </c>
      <c r="N25" s="357">
        <v>2968.4304878048774</v>
      </c>
      <c r="O25" s="358">
        <v>6436.1072538111721</v>
      </c>
      <c r="P25" s="359">
        <v>0.56531464679940024</v>
      </c>
      <c r="Q25" s="145"/>
      <c r="R25" s="145" t="s">
        <v>299</v>
      </c>
      <c r="S25" s="360">
        <v>0.31</v>
      </c>
      <c r="T25" s="358">
        <v>3529.35</v>
      </c>
      <c r="U25" s="145"/>
      <c r="V25" s="365">
        <f t="shared" si="2"/>
        <v>5.8553146467994006</v>
      </c>
      <c r="W25" s="361">
        <f t="shared" si="3"/>
        <v>66662.757253811171</v>
      </c>
      <c r="X25" s="361">
        <f t="shared" si="4"/>
        <v>0</v>
      </c>
      <c r="Y25" s="361">
        <v>66662.757253811171</v>
      </c>
      <c r="Z25" s="362"/>
    </row>
    <row r="26" spans="1:27" x14ac:dyDescent="0.3">
      <c r="A26" s="98">
        <v>5211</v>
      </c>
      <c r="B26" s="348" t="s">
        <v>320</v>
      </c>
      <c r="C26" s="364">
        <v>13455</v>
      </c>
      <c r="D26" s="364">
        <v>11895</v>
      </c>
      <c r="E26" s="152">
        <v>12420</v>
      </c>
      <c r="F26" s="354">
        <f t="shared" si="0"/>
        <v>37770</v>
      </c>
      <c r="G26" s="152">
        <v>3120</v>
      </c>
      <c r="H26" s="152">
        <v>2145</v>
      </c>
      <c r="I26" s="152">
        <v>2880</v>
      </c>
      <c r="J26" s="354">
        <f t="shared" si="1"/>
        <v>8145</v>
      </c>
      <c r="K26" s="355">
        <v>4.9800000000000004</v>
      </c>
      <c r="L26" s="145"/>
      <c r="M26" s="356">
        <v>0.20552238805970174</v>
      </c>
      <c r="N26" s="357">
        <v>7762.5805970149349</v>
      </c>
      <c r="O26" s="358">
        <v>16830.712894910048</v>
      </c>
      <c r="P26" s="359">
        <v>0.44561061410934732</v>
      </c>
      <c r="Q26" s="145"/>
      <c r="R26" s="145" t="s">
        <v>303</v>
      </c>
      <c r="S26" s="360">
        <v>0</v>
      </c>
      <c r="T26" s="358">
        <v>0</v>
      </c>
      <c r="U26" s="145"/>
      <c r="V26" s="365">
        <f t="shared" si="2"/>
        <v>5.4256106141093481</v>
      </c>
      <c r="W26" s="361">
        <f t="shared" si="3"/>
        <v>204925.31289491008</v>
      </c>
      <c r="X26" s="361">
        <f t="shared" si="4"/>
        <v>44191.598451920639</v>
      </c>
      <c r="Y26" s="361">
        <v>245487.41289491006</v>
      </c>
      <c r="Z26" s="362"/>
    </row>
    <row r="27" spans="1:27" x14ac:dyDescent="0.3">
      <c r="A27" s="98">
        <v>2029</v>
      </c>
      <c r="B27" s="348" t="s">
        <v>321</v>
      </c>
      <c r="C27" s="364">
        <v>7410</v>
      </c>
      <c r="D27" s="364">
        <v>6825</v>
      </c>
      <c r="E27" s="152">
        <v>6840</v>
      </c>
      <c r="F27" s="354">
        <f t="shared" si="0"/>
        <v>21075</v>
      </c>
      <c r="G27" s="152">
        <v>3315</v>
      </c>
      <c r="H27" s="152">
        <v>3120</v>
      </c>
      <c r="I27" s="152">
        <v>3060</v>
      </c>
      <c r="J27" s="354">
        <f t="shared" si="1"/>
        <v>9495</v>
      </c>
      <c r="K27" s="355">
        <v>4.9800000000000004</v>
      </c>
      <c r="L27" s="145"/>
      <c r="M27" s="356">
        <v>0.21086956521739134</v>
      </c>
      <c r="N27" s="357">
        <v>4444.076086956522</v>
      </c>
      <c r="O27" s="358">
        <v>9635.5803032130007</v>
      </c>
      <c r="P27" s="359">
        <v>0.45720428484996445</v>
      </c>
      <c r="Q27" s="145"/>
      <c r="R27" s="145" t="s">
        <v>303</v>
      </c>
      <c r="S27" s="360">
        <v>0</v>
      </c>
      <c r="T27" s="358">
        <v>0</v>
      </c>
      <c r="U27" s="145"/>
      <c r="V27" s="365">
        <f t="shared" si="2"/>
        <v>5.4372042848499653</v>
      </c>
      <c r="W27" s="361">
        <f t="shared" si="3"/>
        <v>114589.08030321302</v>
      </c>
      <c r="X27" s="361">
        <f t="shared" si="4"/>
        <v>51626.254684650419</v>
      </c>
      <c r="Y27" s="361">
        <v>161874.18030321301</v>
      </c>
      <c r="Z27" s="362"/>
    </row>
    <row r="28" spans="1:27" x14ac:dyDescent="0.3">
      <c r="A28" s="98">
        <v>2061</v>
      </c>
      <c r="B28" s="348" t="s">
        <v>322</v>
      </c>
      <c r="C28" s="364">
        <v>7605</v>
      </c>
      <c r="D28" s="364">
        <v>5265</v>
      </c>
      <c r="E28" s="152">
        <v>7200</v>
      </c>
      <c r="F28" s="354">
        <f t="shared" si="0"/>
        <v>20070</v>
      </c>
      <c r="G28" s="152">
        <v>0</v>
      </c>
      <c r="H28" s="152">
        <v>0</v>
      </c>
      <c r="I28" s="152">
        <v>0</v>
      </c>
      <c r="J28" s="354">
        <f t="shared" si="1"/>
        <v>0</v>
      </c>
      <c r="K28" s="355">
        <v>4.9800000000000004</v>
      </c>
      <c r="L28" s="145"/>
      <c r="M28" s="356">
        <v>0.16888888888888889</v>
      </c>
      <c r="N28" s="357">
        <v>3389.6</v>
      </c>
      <c r="O28" s="358">
        <v>7349.2807856352802</v>
      </c>
      <c r="P28" s="359">
        <v>0.36618240087868859</v>
      </c>
      <c r="Q28" s="145"/>
      <c r="R28" s="145" t="s">
        <v>303</v>
      </c>
      <c r="S28" s="360">
        <v>0</v>
      </c>
      <c r="T28" s="358">
        <v>0</v>
      </c>
      <c r="U28" s="145"/>
      <c r="V28" s="365">
        <f t="shared" si="2"/>
        <v>5.3461824008786891</v>
      </c>
      <c r="W28" s="361">
        <f t="shared" si="3"/>
        <v>107297.88078563529</v>
      </c>
      <c r="X28" s="361">
        <f t="shared" si="4"/>
        <v>0</v>
      </c>
      <c r="Y28" s="361">
        <v>107297.88078563528</v>
      </c>
      <c r="Z28" s="362"/>
    </row>
    <row r="29" spans="1:27" x14ac:dyDescent="0.3">
      <c r="A29" s="98">
        <v>2021</v>
      </c>
      <c r="B29" s="348" t="s">
        <v>323</v>
      </c>
      <c r="C29" s="364">
        <v>11505</v>
      </c>
      <c r="D29" s="364">
        <v>6630</v>
      </c>
      <c r="E29" s="152">
        <v>8640</v>
      </c>
      <c r="F29" s="354">
        <f t="shared" si="0"/>
        <v>26775</v>
      </c>
      <c r="G29" s="152">
        <v>0</v>
      </c>
      <c r="H29" s="152">
        <v>0</v>
      </c>
      <c r="I29" s="152">
        <v>0</v>
      </c>
      <c r="J29" s="354">
        <f t="shared" si="1"/>
        <v>0</v>
      </c>
      <c r="K29" s="355">
        <v>4.9800000000000004</v>
      </c>
      <c r="L29" s="145"/>
      <c r="M29" s="356">
        <v>0.25428571428571423</v>
      </c>
      <c r="N29" s="357">
        <v>6808.4999999999982</v>
      </c>
      <c r="O29" s="358">
        <v>14762.089399633523</v>
      </c>
      <c r="P29" s="359">
        <v>0.55133853966885238</v>
      </c>
      <c r="Q29" s="145"/>
      <c r="R29" s="145" t="s">
        <v>299</v>
      </c>
      <c r="S29" s="360">
        <v>0.31</v>
      </c>
      <c r="T29" s="358">
        <v>8300.25</v>
      </c>
      <c r="U29" s="145"/>
      <c r="V29" s="365">
        <f t="shared" si="2"/>
        <v>5.8413385396688522</v>
      </c>
      <c r="W29" s="361">
        <f t="shared" si="3"/>
        <v>156401.83939963352</v>
      </c>
      <c r="X29" s="361">
        <f t="shared" si="4"/>
        <v>0</v>
      </c>
      <c r="Y29" s="361">
        <v>156401.83939963352</v>
      </c>
      <c r="Z29" s="362"/>
    </row>
    <row r="30" spans="1:27" x14ac:dyDescent="0.3">
      <c r="A30" s="98">
        <v>2063</v>
      </c>
      <c r="B30" s="348" t="s">
        <v>324</v>
      </c>
      <c r="C30" s="364">
        <v>7800</v>
      </c>
      <c r="D30" s="364">
        <v>3510</v>
      </c>
      <c r="E30" s="152">
        <v>7200</v>
      </c>
      <c r="F30" s="354">
        <f t="shared" si="0"/>
        <v>18510</v>
      </c>
      <c r="G30" s="152">
        <v>2340</v>
      </c>
      <c r="H30" s="152">
        <v>1755</v>
      </c>
      <c r="I30" s="152">
        <v>2160</v>
      </c>
      <c r="J30" s="354">
        <f t="shared" si="1"/>
        <v>6255</v>
      </c>
      <c r="K30" s="355">
        <v>4.9800000000000004</v>
      </c>
      <c r="L30" s="145"/>
      <c r="M30" s="356">
        <v>0.24210526315789482</v>
      </c>
      <c r="N30" s="357">
        <v>4481.3684210526335</v>
      </c>
      <c r="O30" s="358">
        <v>9716.4369926229738</v>
      </c>
      <c r="P30" s="359">
        <v>0.52492906497152747</v>
      </c>
      <c r="Q30" s="145"/>
      <c r="R30" s="145" t="s">
        <v>303</v>
      </c>
      <c r="S30" s="360">
        <v>0</v>
      </c>
      <c r="T30" s="358">
        <v>0</v>
      </c>
      <c r="U30" s="145"/>
      <c r="V30" s="365">
        <f t="shared" si="2"/>
        <v>5.5049290649715275</v>
      </c>
      <c r="W30" s="361">
        <f t="shared" si="3"/>
        <v>101896.23699262297</v>
      </c>
      <c r="X30" s="361">
        <f t="shared" si="4"/>
        <v>34433.331301396902</v>
      </c>
      <c r="Y30" s="361">
        <v>133046.13699262298</v>
      </c>
      <c r="Z30" s="362"/>
    </row>
    <row r="31" spans="1:27" x14ac:dyDescent="0.3">
      <c r="A31" s="98">
        <v>2081</v>
      </c>
      <c r="B31" s="348" t="s">
        <v>325</v>
      </c>
      <c r="C31" s="364">
        <v>14430</v>
      </c>
      <c r="D31" s="364">
        <v>9555</v>
      </c>
      <c r="E31" s="152">
        <v>13500</v>
      </c>
      <c r="F31" s="354">
        <f t="shared" si="0"/>
        <v>37485</v>
      </c>
      <c r="G31" s="152">
        <v>2925</v>
      </c>
      <c r="H31" s="152">
        <v>2925</v>
      </c>
      <c r="I31" s="152">
        <v>2880</v>
      </c>
      <c r="J31" s="354">
        <f t="shared" si="1"/>
        <v>8730</v>
      </c>
      <c r="K31" s="355">
        <v>4.9800000000000004</v>
      </c>
      <c r="L31" s="145"/>
      <c r="M31" s="356">
        <v>0.22233644859813079</v>
      </c>
      <c r="N31" s="357">
        <v>8334.2817757009325</v>
      </c>
      <c r="O31" s="358">
        <v>18070.266968441454</v>
      </c>
      <c r="P31" s="359">
        <v>0.48206661247009347</v>
      </c>
      <c r="Q31" s="145"/>
      <c r="R31" s="145" t="s">
        <v>303</v>
      </c>
      <c r="S31" s="360">
        <v>0</v>
      </c>
      <c r="T31" s="358">
        <v>0</v>
      </c>
      <c r="U31" s="145"/>
      <c r="V31" s="365">
        <f t="shared" si="2"/>
        <v>5.4620666124700943</v>
      </c>
      <c r="W31" s="361">
        <f t="shared" si="3"/>
        <v>204745.56696844148</v>
      </c>
      <c r="X31" s="361">
        <f t="shared" si="4"/>
        <v>47683.841526863922</v>
      </c>
      <c r="Y31" s="361">
        <v>248220.96696844147</v>
      </c>
      <c r="Z31" s="362"/>
    </row>
    <row r="32" spans="1:27" x14ac:dyDescent="0.3">
      <c r="A32" s="98">
        <v>5204</v>
      </c>
      <c r="B32" s="348" t="s">
        <v>326</v>
      </c>
      <c r="C32" s="364">
        <v>10920</v>
      </c>
      <c r="D32" s="364">
        <v>10335</v>
      </c>
      <c r="E32" s="152">
        <v>10080</v>
      </c>
      <c r="F32" s="354">
        <f t="shared" si="0"/>
        <v>31335</v>
      </c>
      <c r="G32" s="152">
        <v>1755</v>
      </c>
      <c r="H32" s="152">
        <v>1365</v>
      </c>
      <c r="I32" s="152">
        <v>2340</v>
      </c>
      <c r="J32" s="354">
        <f t="shared" si="1"/>
        <v>5460</v>
      </c>
      <c r="K32" s="355">
        <v>4.9800000000000004</v>
      </c>
      <c r="L32" s="145"/>
      <c r="M32" s="356">
        <v>0.16322580645161289</v>
      </c>
      <c r="N32" s="357">
        <v>5114.6806451612902</v>
      </c>
      <c r="O32" s="358">
        <v>11089.575227208086</v>
      </c>
      <c r="P32" s="359">
        <v>0.35390378896467484</v>
      </c>
      <c r="Q32" s="145"/>
      <c r="R32" s="145" t="s">
        <v>303</v>
      </c>
      <c r="S32" s="360">
        <v>0</v>
      </c>
      <c r="T32" s="358">
        <v>0</v>
      </c>
      <c r="U32" s="145"/>
      <c r="V32" s="365">
        <f t="shared" si="2"/>
        <v>5.3339037889646752</v>
      </c>
      <c r="W32" s="361">
        <f t="shared" si="3"/>
        <v>167137.8752272081</v>
      </c>
      <c r="X32" s="361">
        <f t="shared" si="4"/>
        <v>29123.114687747126</v>
      </c>
      <c r="Y32" s="361">
        <v>194328.67522720812</v>
      </c>
      <c r="Z32" s="362"/>
    </row>
    <row r="33" spans="1:26" x14ac:dyDescent="0.3">
      <c r="A33" s="98">
        <v>3302</v>
      </c>
      <c r="B33" s="348" t="s">
        <v>327</v>
      </c>
      <c r="C33" s="364">
        <v>4680</v>
      </c>
      <c r="D33" s="364">
        <v>3705</v>
      </c>
      <c r="E33" s="152">
        <v>4320</v>
      </c>
      <c r="F33" s="354">
        <f t="shared" si="0"/>
        <v>12705</v>
      </c>
      <c r="G33" s="152">
        <v>0</v>
      </c>
      <c r="H33" s="152">
        <v>0</v>
      </c>
      <c r="I33" s="152">
        <v>0</v>
      </c>
      <c r="J33" s="354">
        <f t="shared" si="1"/>
        <v>0</v>
      </c>
      <c r="K33" s="355">
        <v>4.9800000000000004</v>
      </c>
      <c r="L33" s="145"/>
      <c r="M33" s="356">
        <v>0.11172413793103447</v>
      </c>
      <c r="N33" s="357">
        <v>1419.455172413793</v>
      </c>
      <c r="O33" s="358">
        <v>3077.6417939259213</v>
      </c>
      <c r="P33" s="359">
        <v>0.24223862998236295</v>
      </c>
      <c r="Q33" s="145"/>
      <c r="R33" s="145" t="s">
        <v>303</v>
      </c>
      <c r="S33" s="360">
        <v>0</v>
      </c>
      <c r="T33" s="358">
        <v>0</v>
      </c>
      <c r="U33" s="145"/>
      <c r="V33" s="365">
        <f t="shared" si="2"/>
        <v>5.2222386299823631</v>
      </c>
      <c r="W33" s="361">
        <f t="shared" si="3"/>
        <v>66348.541793925921</v>
      </c>
      <c r="X33" s="361">
        <f t="shared" si="4"/>
        <v>0</v>
      </c>
      <c r="Y33" s="361">
        <v>66348.541793925935</v>
      </c>
      <c r="Z33" s="362"/>
    </row>
    <row r="34" spans="1:26" x14ac:dyDescent="0.3">
      <c r="A34" s="98">
        <v>2027</v>
      </c>
      <c r="B34" s="348" t="s">
        <v>328</v>
      </c>
      <c r="C34" s="364">
        <v>9750</v>
      </c>
      <c r="D34" s="364">
        <v>10335</v>
      </c>
      <c r="E34" s="152">
        <v>14400</v>
      </c>
      <c r="F34" s="354">
        <f t="shared" si="0"/>
        <v>34485</v>
      </c>
      <c r="G34" s="152">
        <v>0</v>
      </c>
      <c r="H34" s="152">
        <v>0</v>
      </c>
      <c r="I34" s="152">
        <v>0</v>
      </c>
      <c r="J34" s="354">
        <f t="shared" si="1"/>
        <v>0</v>
      </c>
      <c r="K34" s="355">
        <v>4.9800000000000004</v>
      </c>
      <c r="L34" s="145"/>
      <c r="M34" s="356">
        <v>0.22134146341463401</v>
      </c>
      <c r="N34" s="357">
        <v>7632.9603658536535</v>
      </c>
      <c r="O34" s="358">
        <v>16549.672219224656</v>
      </c>
      <c r="P34" s="359">
        <v>0.47990930025299861</v>
      </c>
      <c r="Q34" s="145"/>
      <c r="R34" s="145" t="s">
        <v>303</v>
      </c>
      <c r="S34" s="360">
        <v>0</v>
      </c>
      <c r="T34" s="358">
        <v>0</v>
      </c>
      <c r="U34" s="145"/>
      <c r="V34" s="365">
        <f t="shared" si="2"/>
        <v>5.459909300252999</v>
      </c>
      <c r="W34" s="361">
        <f t="shared" si="3"/>
        <v>188284.97221922467</v>
      </c>
      <c r="X34" s="361">
        <f t="shared" si="4"/>
        <v>0</v>
      </c>
      <c r="Y34" s="361">
        <v>188284.97221922467</v>
      </c>
      <c r="Z34" s="362"/>
    </row>
    <row r="35" spans="1:26" x14ac:dyDescent="0.3">
      <c r="A35" s="98">
        <v>2033</v>
      </c>
      <c r="B35" s="348" t="s">
        <v>329</v>
      </c>
      <c r="C35" s="364">
        <v>13260</v>
      </c>
      <c r="D35" s="364">
        <v>11700</v>
      </c>
      <c r="E35" s="152">
        <v>12240</v>
      </c>
      <c r="F35" s="354">
        <f t="shared" si="0"/>
        <v>37200</v>
      </c>
      <c r="G35" s="152">
        <v>3120</v>
      </c>
      <c r="H35" s="152">
        <v>4095</v>
      </c>
      <c r="I35" s="152">
        <v>3960</v>
      </c>
      <c r="J35" s="354">
        <f t="shared" si="1"/>
        <v>11175</v>
      </c>
      <c r="K35" s="355">
        <v>4.9800000000000004</v>
      </c>
      <c r="L35" s="145"/>
      <c r="M35" s="356">
        <v>0.1130769230769231</v>
      </c>
      <c r="N35" s="357">
        <v>4206.461538461539</v>
      </c>
      <c r="O35" s="358">
        <v>9120.3879396180109</v>
      </c>
      <c r="P35" s="359">
        <v>0.24517171880693578</v>
      </c>
      <c r="Q35" s="145"/>
      <c r="R35" s="145" t="s">
        <v>303</v>
      </c>
      <c r="S35" s="360">
        <v>0</v>
      </c>
      <c r="T35" s="358">
        <v>0</v>
      </c>
      <c r="U35" s="145"/>
      <c r="V35" s="365">
        <f t="shared" si="2"/>
        <v>5.2251717188069362</v>
      </c>
      <c r="W35" s="361">
        <f t="shared" si="3"/>
        <v>194376.38793961803</v>
      </c>
      <c r="X35" s="361">
        <f t="shared" si="4"/>
        <v>58391.293957667513</v>
      </c>
      <c r="Y35" s="361">
        <v>250027.88793961803</v>
      </c>
      <c r="Z35" s="362"/>
    </row>
    <row r="36" spans="1:26" x14ac:dyDescent="0.3">
      <c r="A36" s="98">
        <v>2028</v>
      </c>
      <c r="B36" s="348" t="s">
        <v>330</v>
      </c>
      <c r="C36" s="364">
        <v>15600</v>
      </c>
      <c r="D36" s="364">
        <v>12090</v>
      </c>
      <c r="E36" s="152">
        <v>15120</v>
      </c>
      <c r="F36" s="354">
        <f t="shared" si="0"/>
        <v>42810</v>
      </c>
      <c r="G36" s="152">
        <v>0</v>
      </c>
      <c r="H36" s="152">
        <v>0</v>
      </c>
      <c r="I36" s="152">
        <v>0</v>
      </c>
      <c r="J36" s="354">
        <f t="shared" si="1"/>
        <v>0</v>
      </c>
      <c r="K36" s="355">
        <v>4.9800000000000004</v>
      </c>
      <c r="L36" s="145"/>
      <c r="M36" s="356">
        <v>0.26557251908396934</v>
      </c>
      <c r="N36" s="357">
        <v>11369.159541984727</v>
      </c>
      <c r="O36" s="358">
        <v>24650.444232573271</v>
      </c>
      <c r="P36" s="359">
        <v>0.57581042355929157</v>
      </c>
      <c r="Q36" s="145"/>
      <c r="R36" s="145" t="s">
        <v>299</v>
      </c>
      <c r="S36" s="360">
        <v>0.31</v>
      </c>
      <c r="T36" s="358">
        <v>13271.1</v>
      </c>
      <c r="U36" s="145"/>
      <c r="V36" s="365">
        <f t="shared" si="2"/>
        <v>5.8658104235592914</v>
      </c>
      <c r="W36" s="361">
        <f t="shared" si="3"/>
        <v>251115.34423257326</v>
      </c>
      <c r="X36" s="361">
        <f t="shared" si="4"/>
        <v>0</v>
      </c>
      <c r="Y36" s="361">
        <v>251115.34423257329</v>
      </c>
      <c r="Z36" s="362"/>
    </row>
    <row r="37" spans="1:26" x14ac:dyDescent="0.3">
      <c r="A37" s="98">
        <v>2017</v>
      </c>
      <c r="B37" s="348" t="s">
        <v>331</v>
      </c>
      <c r="C37" s="364">
        <v>9555</v>
      </c>
      <c r="D37" s="364">
        <v>8385</v>
      </c>
      <c r="E37" s="152">
        <v>5940</v>
      </c>
      <c r="F37" s="354">
        <f t="shared" ref="F37:F61" si="5">SUM(C37:E37)</f>
        <v>23880</v>
      </c>
      <c r="G37" s="152">
        <v>1080</v>
      </c>
      <c r="H37" s="152">
        <v>1365</v>
      </c>
      <c r="I37" s="152">
        <v>1980</v>
      </c>
      <c r="J37" s="354">
        <f t="shared" si="1"/>
        <v>4425</v>
      </c>
      <c r="K37" s="355">
        <v>4.9800000000000004</v>
      </c>
      <c r="L37" s="145"/>
      <c r="M37" s="356">
        <v>0.31959459459459449</v>
      </c>
      <c r="N37" s="357">
        <v>7631.9189189189165</v>
      </c>
      <c r="O37" s="358">
        <v>16547.414169322979</v>
      </c>
      <c r="P37" s="359">
        <v>0.69294029184769601</v>
      </c>
      <c r="Q37" s="145"/>
      <c r="R37" s="145" t="s">
        <v>299</v>
      </c>
      <c r="S37" s="360">
        <v>0.31</v>
      </c>
      <c r="T37" s="358">
        <v>8774.5499999999993</v>
      </c>
      <c r="U37" s="145"/>
      <c r="V37" s="365">
        <f t="shared" si="2"/>
        <v>5.9829402918476964</v>
      </c>
      <c r="W37" s="361">
        <f t="shared" si="3"/>
        <v>142872.614169323</v>
      </c>
      <c r="X37" s="361">
        <f t="shared" si="4"/>
        <v>26474.510791426055</v>
      </c>
      <c r="Y37" s="361">
        <v>166280.864169323</v>
      </c>
      <c r="Z37" s="362"/>
    </row>
    <row r="38" spans="1:26" x14ac:dyDescent="0.3">
      <c r="A38" s="98">
        <v>2037</v>
      </c>
      <c r="B38" s="348" t="s">
        <v>332</v>
      </c>
      <c r="C38" s="364">
        <v>19695</v>
      </c>
      <c r="D38" s="364">
        <v>16185</v>
      </c>
      <c r="E38" s="152">
        <v>18180</v>
      </c>
      <c r="F38" s="354">
        <f t="shared" si="5"/>
        <v>54060</v>
      </c>
      <c r="G38" s="152">
        <v>0</v>
      </c>
      <c r="H38" s="152">
        <v>0</v>
      </c>
      <c r="I38" s="152">
        <v>0</v>
      </c>
      <c r="J38" s="354">
        <f t="shared" si="1"/>
        <v>0</v>
      </c>
      <c r="K38" s="355">
        <v>4.9800000000000004</v>
      </c>
      <c r="L38" s="145"/>
      <c r="M38" s="356">
        <v>0.2877439024390247</v>
      </c>
      <c r="N38" s="357">
        <v>15555.435365853675</v>
      </c>
      <c r="O38" s="358">
        <v>33727.065803180289</v>
      </c>
      <c r="P38" s="359">
        <v>0.62388209032889919</v>
      </c>
      <c r="Q38" s="145"/>
      <c r="R38" s="145" t="s">
        <v>299</v>
      </c>
      <c r="S38" s="360">
        <v>0.31</v>
      </c>
      <c r="T38" s="358">
        <v>16758.599999999999</v>
      </c>
      <c r="U38" s="145"/>
      <c r="V38" s="365">
        <f t="shared" si="2"/>
        <v>5.9138820903288991</v>
      </c>
      <c r="W38" s="361">
        <f t="shared" si="3"/>
        <v>319704.4658031803</v>
      </c>
      <c r="X38" s="361">
        <f t="shared" si="4"/>
        <v>0</v>
      </c>
      <c r="Y38" s="361">
        <v>319704.46580318036</v>
      </c>
      <c r="Z38" s="362"/>
    </row>
    <row r="39" spans="1:26" x14ac:dyDescent="0.3">
      <c r="A39" s="98">
        <v>2039</v>
      </c>
      <c r="B39" s="348" t="s">
        <v>333</v>
      </c>
      <c r="C39" s="364">
        <v>9360</v>
      </c>
      <c r="D39" s="364">
        <v>9750</v>
      </c>
      <c r="E39" s="152">
        <v>8640</v>
      </c>
      <c r="F39" s="354">
        <f t="shared" si="5"/>
        <v>27750</v>
      </c>
      <c r="G39" s="152">
        <v>1365</v>
      </c>
      <c r="H39" s="152">
        <v>3900</v>
      </c>
      <c r="I39" s="152">
        <v>3960</v>
      </c>
      <c r="J39" s="354">
        <f t="shared" si="1"/>
        <v>9225</v>
      </c>
      <c r="K39" s="355">
        <v>4.9800000000000004</v>
      </c>
      <c r="L39" s="145"/>
      <c r="M39" s="356">
        <v>0.10473214285714282</v>
      </c>
      <c r="N39" s="357">
        <v>2906.3169642857133</v>
      </c>
      <c r="O39" s="358">
        <v>6301.4336271509464</v>
      </c>
      <c r="P39" s="359">
        <v>0.22707868926670077</v>
      </c>
      <c r="Q39" s="145"/>
      <c r="R39" s="145" t="s">
        <v>303</v>
      </c>
      <c r="S39" s="360">
        <v>0</v>
      </c>
      <c r="T39" s="358">
        <v>0</v>
      </c>
      <c r="U39" s="145"/>
      <c r="V39" s="365">
        <f t="shared" si="2"/>
        <v>5.2070786892667016</v>
      </c>
      <c r="W39" s="361">
        <f t="shared" si="3"/>
        <v>144496.43362715098</v>
      </c>
      <c r="X39" s="361">
        <f t="shared" si="4"/>
        <v>48035.300908485326</v>
      </c>
      <c r="Y39" s="361">
        <v>190436.93362715095</v>
      </c>
      <c r="Z39" s="362"/>
    </row>
    <row r="40" spans="1:26" x14ac:dyDescent="0.3">
      <c r="A40" s="98">
        <v>5200</v>
      </c>
      <c r="B40" s="348" t="s">
        <v>334</v>
      </c>
      <c r="C40" s="364">
        <v>13845</v>
      </c>
      <c r="D40" s="364">
        <v>14625</v>
      </c>
      <c r="E40" s="152">
        <v>12780</v>
      </c>
      <c r="F40" s="354">
        <f t="shared" si="5"/>
        <v>41250</v>
      </c>
      <c r="G40" s="152">
        <v>5549</v>
      </c>
      <c r="H40" s="152">
        <v>4905.5</v>
      </c>
      <c r="I40" s="152">
        <v>5580</v>
      </c>
      <c r="J40" s="354">
        <f t="shared" si="1"/>
        <v>16034.5</v>
      </c>
      <c r="K40" s="355">
        <v>4.9800000000000004</v>
      </c>
      <c r="L40" s="145"/>
      <c r="M40" s="356">
        <v>0.16347457627118658</v>
      </c>
      <c r="N40" s="357">
        <v>6743.3262711864463</v>
      </c>
      <c r="O40" s="358">
        <v>14620.780680935848</v>
      </c>
      <c r="P40" s="359">
        <v>0.35444316802268722</v>
      </c>
      <c r="Q40" s="145"/>
      <c r="R40" s="145" t="s">
        <v>303</v>
      </c>
      <c r="S40" s="360">
        <v>0</v>
      </c>
      <c r="T40" s="358">
        <v>0</v>
      </c>
      <c r="U40" s="145"/>
      <c r="V40" s="365">
        <f t="shared" si="2"/>
        <v>5.3344431680226876</v>
      </c>
      <c r="W40" s="361">
        <f t="shared" si="3"/>
        <v>220045.78068093586</v>
      </c>
      <c r="X40" s="361">
        <f t="shared" si="4"/>
        <v>85535.128977659784</v>
      </c>
      <c r="Y40" s="361">
        <v>299897.59068093589</v>
      </c>
      <c r="Z40" s="362"/>
    </row>
    <row r="41" spans="1:26" x14ac:dyDescent="0.3">
      <c r="A41" s="98">
        <v>2040</v>
      </c>
      <c r="B41" s="348" t="s">
        <v>150</v>
      </c>
      <c r="C41" s="364">
        <v>10530</v>
      </c>
      <c r="D41" s="364">
        <v>8580</v>
      </c>
      <c r="E41" s="152">
        <v>12780</v>
      </c>
      <c r="F41" s="354">
        <f t="shared" si="5"/>
        <v>31890</v>
      </c>
      <c r="G41" s="152">
        <v>1950</v>
      </c>
      <c r="H41" s="152">
        <v>585</v>
      </c>
      <c r="I41" s="152">
        <v>540</v>
      </c>
      <c r="J41" s="354">
        <f t="shared" si="1"/>
        <v>3075</v>
      </c>
      <c r="K41" s="355">
        <v>4.9800000000000004</v>
      </c>
      <c r="L41" s="145"/>
      <c r="M41" s="356">
        <v>0.2378813559322033</v>
      </c>
      <c r="N41" s="357">
        <v>7586.0364406779636</v>
      </c>
      <c r="O41" s="358">
        <v>16447.932455925067</v>
      </c>
      <c r="P41" s="359">
        <v>0.51577085154986102</v>
      </c>
      <c r="Q41" s="145"/>
      <c r="R41" s="145" t="s">
        <v>303</v>
      </c>
      <c r="S41" s="360">
        <v>0</v>
      </c>
      <c r="T41" s="358">
        <v>0</v>
      </c>
      <c r="U41" s="145"/>
      <c r="V41" s="365">
        <f t="shared" si="2"/>
        <v>5.4957708515498611</v>
      </c>
      <c r="W41" s="361">
        <f t="shared" si="3"/>
        <v>175260.13245592508</v>
      </c>
      <c r="X41" s="361">
        <f t="shared" si="4"/>
        <v>16899.495368515822</v>
      </c>
      <c r="Y41" s="361">
        <v>190573.63245592508</v>
      </c>
      <c r="Z41" s="362"/>
    </row>
    <row r="42" spans="1:26" x14ac:dyDescent="0.3">
      <c r="A42" s="98">
        <v>2064</v>
      </c>
      <c r="B42" s="348" t="s">
        <v>335</v>
      </c>
      <c r="C42" s="364">
        <v>12090</v>
      </c>
      <c r="D42" s="364">
        <v>6240</v>
      </c>
      <c r="E42" s="152">
        <v>11160</v>
      </c>
      <c r="F42" s="354">
        <f t="shared" si="5"/>
        <v>29490</v>
      </c>
      <c r="G42" s="152">
        <v>0</v>
      </c>
      <c r="H42" s="152">
        <v>0</v>
      </c>
      <c r="I42" s="152">
        <v>0</v>
      </c>
      <c r="J42" s="354">
        <f t="shared" si="1"/>
        <v>0</v>
      </c>
      <c r="K42" s="355">
        <v>4.9800000000000004</v>
      </c>
      <c r="L42" s="145"/>
      <c r="M42" s="356">
        <v>0.28319587628865955</v>
      </c>
      <c r="N42" s="357">
        <v>8351.44639175257</v>
      </c>
      <c r="O42" s="358">
        <v>18107.483036101679</v>
      </c>
      <c r="P42" s="359">
        <v>0.61402112702955847</v>
      </c>
      <c r="Q42" s="145"/>
      <c r="R42" s="145" t="s">
        <v>299</v>
      </c>
      <c r="S42" s="360">
        <v>0.31</v>
      </c>
      <c r="T42" s="358">
        <v>9141.9</v>
      </c>
      <c r="U42" s="145"/>
      <c r="V42" s="365">
        <f t="shared" si="2"/>
        <v>5.9040211270295586</v>
      </c>
      <c r="W42" s="361">
        <f t="shared" si="3"/>
        <v>174109.58303610169</v>
      </c>
      <c r="X42" s="361">
        <f t="shared" si="4"/>
        <v>0</v>
      </c>
      <c r="Y42" s="361">
        <v>174109.58303610169</v>
      </c>
      <c r="Z42" s="362"/>
    </row>
    <row r="43" spans="1:26" x14ac:dyDescent="0.3">
      <c r="A43" s="98">
        <v>2045</v>
      </c>
      <c r="B43" s="348" t="s">
        <v>153</v>
      </c>
      <c r="C43" s="364">
        <v>6630</v>
      </c>
      <c r="D43" s="364">
        <v>4485</v>
      </c>
      <c r="E43" s="152">
        <v>7020</v>
      </c>
      <c r="F43" s="354">
        <f t="shared" si="5"/>
        <v>18135</v>
      </c>
      <c r="G43" s="152">
        <v>0</v>
      </c>
      <c r="H43" s="152">
        <v>0</v>
      </c>
      <c r="I43" s="152">
        <v>0</v>
      </c>
      <c r="J43" s="354">
        <f t="shared" si="1"/>
        <v>0</v>
      </c>
      <c r="K43" s="355">
        <v>4.9800000000000004</v>
      </c>
      <c r="L43" s="145"/>
      <c r="M43" s="356">
        <v>0.26816666666666655</v>
      </c>
      <c r="N43" s="357">
        <v>4863.2024999999976</v>
      </c>
      <c r="O43" s="358">
        <v>10544.324017554709</v>
      </c>
      <c r="P43" s="359">
        <v>0.58143501613204907</v>
      </c>
      <c r="Q43" s="145"/>
      <c r="R43" s="145" t="s">
        <v>299</v>
      </c>
      <c r="S43" s="360">
        <v>0.31</v>
      </c>
      <c r="T43" s="358">
        <v>5621.85</v>
      </c>
      <c r="U43" s="145"/>
      <c r="V43" s="365">
        <f t="shared" si="2"/>
        <v>5.8714350161320494</v>
      </c>
      <c r="W43" s="361">
        <f t="shared" si="3"/>
        <v>106478.47401755472</v>
      </c>
      <c r="X43" s="361">
        <f t="shared" si="4"/>
        <v>0</v>
      </c>
      <c r="Y43" s="361">
        <v>106478.47401755472</v>
      </c>
      <c r="Z43" s="362"/>
    </row>
    <row r="44" spans="1:26" x14ac:dyDescent="0.3">
      <c r="A44" s="98">
        <v>2080</v>
      </c>
      <c r="B44" s="348" t="s">
        <v>336</v>
      </c>
      <c r="C44" s="364">
        <v>5655</v>
      </c>
      <c r="D44" s="364">
        <v>3900</v>
      </c>
      <c r="E44" s="152">
        <v>5220</v>
      </c>
      <c r="F44" s="354">
        <f t="shared" si="5"/>
        <v>14775</v>
      </c>
      <c r="G44" s="152">
        <v>1755</v>
      </c>
      <c r="H44" s="152">
        <v>1755</v>
      </c>
      <c r="I44" s="152">
        <v>1620</v>
      </c>
      <c r="J44" s="354">
        <f t="shared" si="1"/>
        <v>5130</v>
      </c>
      <c r="K44" s="355">
        <v>4.9800000000000004</v>
      </c>
      <c r="L44" s="145"/>
      <c r="M44" s="356">
        <v>0.1693243243243244</v>
      </c>
      <c r="N44" s="357">
        <v>2501.766891891893</v>
      </c>
      <c r="O44" s="358">
        <v>5424.2941198724284</v>
      </c>
      <c r="P44" s="359">
        <v>0.36712650557512205</v>
      </c>
      <c r="Q44" s="145"/>
      <c r="R44" s="145" t="s">
        <v>303</v>
      </c>
      <c r="S44" s="360">
        <v>0</v>
      </c>
      <c r="T44" s="358">
        <v>0</v>
      </c>
      <c r="U44" s="145"/>
      <c r="V44" s="365">
        <f t="shared" si="2"/>
        <v>5.3471265055751225</v>
      </c>
      <c r="W44" s="361">
        <f t="shared" si="3"/>
        <v>79003.794119872429</v>
      </c>
      <c r="X44" s="361">
        <f t="shared" si="4"/>
        <v>27430.758973600379</v>
      </c>
      <c r="Y44" s="361">
        <v>79003.794119872429</v>
      </c>
      <c r="Z44" s="362"/>
    </row>
    <row r="45" spans="1:26" x14ac:dyDescent="0.3">
      <c r="A45" s="98">
        <v>2048</v>
      </c>
      <c r="B45" s="348" t="s">
        <v>337</v>
      </c>
      <c r="C45" s="364">
        <v>6825</v>
      </c>
      <c r="D45" s="364">
        <v>6435</v>
      </c>
      <c r="E45" s="152">
        <v>6660</v>
      </c>
      <c r="F45" s="354">
        <f t="shared" si="5"/>
        <v>19920</v>
      </c>
      <c r="G45" s="152">
        <v>1560</v>
      </c>
      <c r="H45" s="152">
        <v>1755</v>
      </c>
      <c r="I45" s="152">
        <v>1800</v>
      </c>
      <c r="J45" s="354">
        <f t="shared" si="1"/>
        <v>5115</v>
      </c>
      <c r="K45" s="355">
        <v>4.9800000000000004</v>
      </c>
      <c r="L45" s="145"/>
      <c r="M45" s="356">
        <v>0.19461538461538463</v>
      </c>
      <c r="N45" s="357">
        <v>3876.7384615384617</v>
      </c>
      <c r="O45" s="358">
        <v>8405.4872215948471</v>
      </c>
      <c r="P45" s="359">
        <v>0.42196220991942002</v>
      </c>
      <c r="Q45" s="145"/>
      <c r="R45" s="145" t="s">
        <v>303</v>
      </c>
      <c r="S45" s="360">
        <v>0</v>
      </c>
      <c r="T45" s="358">
        <v>0</v>
      </c>
      <c r="U45" s="145"/>
      <c r="V45" s="365">
        <f t="shared" si="2"/>
        <v>5.4019622099194207</v>
      </c>
      <c r="W45" s="361">
        <f t="shared" si="3"/>
        <v>107607.08722159486</v>
      </c>
      <c r="X45" s="361">
        <f t="shared" si="4"/>
        <v>27631.036703737838</v>
      </c>
      <c r="Y45" s="361">
        <v>133079.78722159486</v>
      </c>
      <c r="Z45" s="362"/>
    </row>
    <row r="46" spans="1:26" x14ac:dyDescent="0.3">
      <c r="A46" s="98">
        <v>3405</v>
      </c>
      <c r="B46" s="348" t="s">
        <v>338</v>
      </c>
      <c r="C46" s="364">
        <v>11310</v>
      </c>
      <c r="D46" s="364">
        <v>10725</v>
      </c>
      <c r="E46" s="152">
        <v>10440</v>
      </c>
      <c r="F46" s="354">
        <f t="shared" si="5"/>
        <v>32475</v>
      </c>
      <c r="G46" s="152">
        <v>0</v>
      </c>
      <c r="H46" s="152">
        <v>0</v>
      </c>
      <c r="I46" s="152">
        <v>0</v>
      </c>
      <c r="J46" s="354">
        <f t="shared" si="1"/>
        <v>0</v>
      </c>
      <c r="K46" s="355">
        <v>4.9800000000000004</v>
      </c>
      <c r="L46" s="145"/>
      <c r="M46" s="356">
        <v>0.12504672897196259</v>
      </c>
      <c r="N46" s="357">
        <v>4060.892523364485</v>
      </c>
      <c r="O46" s="358">
        <v>8804.7673455548083</v>
      </c>
      <c r="P46" s="359">
        <v>0.27112447561369696</v>
      </c>
      <c r="Q46" s="145"/>
      <c r="R46" s="145" t="s">
        <v>303</v>
      </c>
      <c r="S46" s="360">
        <v>0</v>
      </c>
      <c r="T46" s="358">
        <v>0</v>
      </c>
      <c r="U46" s="145"/>
      <c r="V46" s="365">
        <f t="shared" si="2"/>
        <v>5.2511244756136977</v>
      </c>
      <c r="W46" s="361">
        <f t="shared" si="3"/>
        <v>170530.26734555484</v>
      </c>
      <c r="X46" s="361">
        <f t="shared" si="4"/>
        <v>0</v>
      </c>
      <c r="Y46" s="361">
        <v>170530.26734555481</v>
      </c>
      <c r="Z46" s="362"/>
    </row>
    <row r="47" spans="1:26" x14ac:dyDescent="0.3">
      <c r="A47" s="98">
        <v>5208</v>
      </c>
      <c r="B47" s="348" t="s">
        <v>339</v>
      </c>
      <c r="C47" s="364">
        <v>4290</v>
      </c>
      <c r="D47" s="364">
        <v>3510</v>
      </c>
      <c r="E47" s="152">
        <v>3960</v>
      </c>
      <c r="F47" s="354">
        <f t="shared" si="5"/>
        <v>11760</v>
      </c>
      <c r="G47" s="152">
        <v>2340</v>
      </c>
      <c r="H47" s="152">
        <v>1695</v>
      </c>
      <c r="I47" s="152">
        <v>1800</v>
      </c>
      <c r="J47" s="354">
        <f t="shared" si="1"/>
        <v>5835</v>
      </c>
      <c r="K47" s="355">
        <v>4.9800000000000004</v>
      </c>
      <c r="L47" s="145"/>
      <c r="M47" s="356">
        <v>0.25458333333333333</v>
      </c>
      <c r="N47" s="357">
        <v>2993.9</v>
      </c>
      <c r="O47" s="358">
        <v>6491.3298749449687</v>
      </c>
      <c r="P47" s="359">
        <v>0.55198383290348374</v>
      </c>
      <c r="Q47" s="145"/>
      <c r="R47" s="145" t="s">
        <v>299</v>
      </c>
      <c r="S47" s="360">
        <v>0.31</v>
      </c>
      <c r="T47" s="358">
        <v>5454.45</v>
      </c>
      <c r="U47" s="145"/>
      <c r="V47" s="365">
        <f t="shared" si="2"/>
        <v>5.8419838329034839</v>
      </c>
      <c r="W47" s="361">
        <f t="shared" si="3"/>
        <v>68701.729874944969</v>
      </c>
      <c r="X47" s="361">
        <f t="shared" si="4"/>
        <v>34087.975664991827</v>
      </c>
      <c r="Y47" s="361">
        <v>99568.879874944978</v>
      </c>
      <c r="Z47" s="362"/>
    </row>
    <row r="48" spans="1:26" x14ac:dyDescent="0.3">
      <c r="A48" s="98">
        <v>3402</v>
      </c>
      <c r="B48" s="348" t="s">
        <v>340</v>
      </c>
      <c r="C48" s="364">
        <v>7605</v>
      </c>
      <c r="D48" s="364">
        <v>5070</v>
      </c>
      <c r="E48" s="152">
        <v>7020</v>
      </c>
      <c r="F48" s="354">
        <f t="shared" si="5"/>
        <v>19695</v>
      </c>
      <c r="G48" s="152">
        <v>3510</v>
      </c>
      <c r="H48" s="152">
        <v>3195</v>
      </c>
      <c r="I48" s="152">
        <v>3240</v>
      </c>
      <c r="J48" s="354">
        <f t="shared" si="1"/>
        <v>9945</v>
      </c>
      <c r="K48" s="355">
        <v>4.9800000000000004</v>
      </c>
      <c r="L48" s="145"/>
      <c r="M48" s="356">
        <v>0.22048192771084338</v>
      </c>
      <c r="N48" s="357">
        <v>4342.3915662650606</v>
      </c>
      <c r="O48" s="358">
        <v>9415.1094234294615</v>
      </c>
      <c r="P48" s="359">
        <v>0.4780456676024098</v>
      </c>
      <c r="Q48" s="145"/>
      <c r="R48" s="145" t="s">
        <v>303</v>
      </c>
      <c r="S48" s="360">
        <v>0</v>
      </c>
      <c r="T48" s="358">
        <v>0</v>
      </c>
      <c r="U48" s="145"/>
      <c r="V48" s="365">
        <f t="shared" si="2"/>
        <v>5.4580456676024101</v>
      </c>
      <c r="W48" s="361">
        <f t="shared" si="3"/>
        <v>107496.20942342946</v>
      </c>
      <c r="X48" s="361">
        <f t="shared" si="4"/>
        <v>54280.264164305969</v>
      </c>
      <c r="Y48" s="361">
        <v>157022.30942342948</v>
      </c>
      <c r="Z48" s="362"/>
    </row>
    <row r="49" spans="1:26" x14ac:dyDescent="0.3">
      <c r="A49" s="98">
        <v>3403</v>
      </c>
      <c r="B49" s="348" t="s">
        <v>341</v>
      </c>
      <c r="C49" s="364">
        <v>4875</v>
      </c>
      <c r="D49" s="364">
        <v>3900</v>
      </c>
      <c r="E49" s="152">
        <v>4680</v>
      </c>
      <c r="F49" s="354">
        <f t="shared" si="5"/>
        <v>13455</v>
      </c>
      <c r="G49" s="152">
        <v>1950</v>
      </c>
      <c r="H49" s="152">
        <v>2100</v>
      </c>
      <c r="I49" s="152">
        <v>2340</v>
      </c>
      <c r="J49" s="354">
        <f t="shared" si="1"/>
        <v>6390</v>
      </c>
      <c r="K49" s="355">
        <v>4.9800000000000004</v>
      </c>
      <c r="L49" s="145"/>
      <c r="M49" s="356">
        <v>0.31627906976744175</v>
      </c>
      <c r="N49" s="357">
        <v>4255.5348837209285</v>
      </c>
      <c r="O49" s="358">
        <v>9226.788043878596</v>
      </c>
      <c r="P49" s="359">
        <v>0.68575161976057941</v>
      </c>
      <c r="Q49" s="145"/>
      <c r="R49" s="145" t="s">
        <v>299</v>
      </c>
      <c r="S49" s="360">
        <v>0.31</v>
      </c>
      <c r="T49" s="358">
        <v>6151.95</v>
      </c>
      <c r="U49" s="145"/>
      <c r="V49" s="365">
        <f t="shared" si="2"/>
        <v>5.9757516197605796</v>
      </c>
      <c r="W49" s="361">
        <f t="shared" si="3"/>
        <v>80403.738043878591</v>
      </c>
      <c r="X49" s="361">
        <f t="shared" si="4"/>
        <v>38185.052850270105</v>
      </c>
      <c r="Y49" s="361">
        <v>114206.83804387861</v>
      </c>
      <c r="Z49" s="362"/>
    </row>
    <row r="50" spans="1:26" x14ac:dyDescent="0.3">
      <c r="A50" s="98">
        <v>2035</v>
      </c>
      <c r="B50" s="348" t="s">
        <v>342</v>
      </c>
      <c r="C50" s="364">
        <v>3510</v>
      </c>
      <c r="D50" s="364">
        <v>2535</v>
      </c>
      <c r="E50" s="152">
        <v>5040</v>
      </c>
      <c r="F50" s="354">
        <f t="shared" si="5"/>
        <v>11085</v>
      </c>
      <c r="G50" s="152">
        <v>0</v>
      </c>
      <c r="H50" s="152">
        <v>0</v>
      </c>
      <c r="I50" s="152">
        <v>0</v>
      </c>
      <c r="J50" s="354">
        <f t="shared" si="1"/>
        <v>0</v>
      </c>
      <c r="K50" s="355">
        <v>4.9800000000000004</v>
      </c>
      <c r="L50" s="145"/>
      <c r="M50" s="356">
        <v>0.30459999999999987</v>
      </c>
      <c r="N50" s="357">
        <v>3376.4909999999986</v>
      </c>
      <c r="O50" s="358">
        <v>7320.858044952337</v>
      </c>
      <c r="P50" s="359">
        <v>0.66042923274265553</v>
      </c>
      <c r="Q50" s="145"/>
      <c r="R50" s="145" t="s">
        <v>299</v>
      </c>
      <c r="S50" s="360">
        <v>0.31</v>
      </c>
      <c r="T50" s="358">
        <v>4608.1499999999996</v>
      </c>
      <c r="U50" s="145"/>
      <c r="V50" s="365">
        <f t="shared" si="2"/>
        <v>5.950429232742656</v>
      </c>
      <c r="W50" s="361">
        <f t="shared" si="3"/>
        <v>65960.508044952338</v>
      </c>
      <c r="X50" s="361">
        <f t="shared" si="4"/>
        <v>0</v>
      </c>
      <c r="Y50" s="361">
        <v>85956.708044952335</v>
      </c>
      <c r="Z50" s="362"/>
    </row>
    <row r="51" spans="1:26" x14ac:dyDescent="0.3">
      <c r="A51" s="98">
        <v>3404</v>
      </c>
      <c r="B51" s="348" t="s">
        <v>343</v>
      </c>
      <c r="C51" s="364">
        <v>8385</v>
      </c>
      <c r="D51" s="364">
        <v>4875</v>
      </c>
      <c r="E51" s="152">
        <v>6480</v>
      </c>
      <c r="F51" s="354">
        <f t="shared" si="5"/>
        <v>19740</v>
      </c>
      <c r="G51" s="152">
        <v>0</v>
      </c>
      <c r="H51" s="152">
        <v>0</v>
      </c>
      <c r="I51" s="152">
        <v>0</v>
      </c>
      <c r="J51" s="354">
        <f t="shared" si="1"/>
        <v>0</v>
      </c>
      <c r="K51" s="355">
        <v>4.9800000000000004</v>
      </c>
      <c r="L51" s="145"/>
      <c r="M51" s="356">
        <v>0.21921052631578952</v>
      </c>
      <c r="N51" s="357">
        <v>4327.2157894736856</v>
      </c>
      <c r="O51" s="358">
        <v>9382.2055277544714</v>
      </c>
      <c r="P51" s="359">
        <v>0.47528903382748083</v>
      </c>
      <c r="Q51" s="145"/>
      <c r="R51" s="145" t="s">
        <v>303</v>
      </c>
      <c r="S51" s="360">
        <v>0</v>
      </c>
      <c r="T51" s="358">
        <v>0</v>
      </c>
      <c r="U51" s="145"/>
      <c r="V51" s="365">
        <f t="shared" si="2"/>
        <v>5.4552890338274809</v>
      </c>
      <c r="W51" s="361">
        <f t="shared" si="3"/>
        <v>107687.40552775447</v>
      </c>
      <c r="X51" s="361">
        <f t="shared" si="4"/>
        <v>0</v>
      </c>
      <c r="Y51" s="361">
        <v>107687.40552775448</v>
      </c>
      <c r="Z51" s="362"/>
    </row>
    <row r="52" spans="1:26" x14ac:dyDescent="0.3">
      <c r="A52" s="98">
        <v>3306</v>
      </c>
      <c r="B52" s="348" t="s">
        <v>344</v>
      </c>
      <c r="C52" s="364">
        <v>9165</v>
      </c>
      <c r="D52" s="364">
        <v>7800</v>
      </c>
      <c r="E52" s="152">
        <v>8100</v>
      </c>
      <c r="F52" s="354">
        <f t="shared" si="5"/>
        <v>25065</v>
      </c>
      <c r="G52" s="152">
        <v>0</v>
      </c>
      <c r="H52" s="152">
        <v>0</v>
      </c>
      <c r="I52" s="152">
        <v>0</v>
      </c>
      <c r="J52" s="354">
        <f t="shared" si="1"/>
        <v>0</v>
      </c>
      <c r="K52" s="355">
        <v>4.9800000000000004</v>
      </c>
      <c r="L52" s="145"/>
      <c r="M52" s="356">
        <v>0.28202702702702692</v>
      </c>
      <c r="N52" s="357">
        <v>7069.0074324324296</v>
      </c>
      <c r="O52" s="358">
        <v>15326.917776931981</v>
      </c>
      <c r="P52" s="359">
        <v>0.61148684527955244</v>
      </c>
      <c r="Q52" s="145"/>
      <c r="R52" s="145" t="s">
        <v>299</v>
      </c>
      <c r="S52" s="360">
        <v>0.31</v>
      </c>
      <c r="T52" s="358">
        <v>7770.15</v>
      </c>
      <c r="U52" s="145"/>
      <c r="V52" s="365">
        <f t="shared" si="2"/>
        <v>5.9014868452795524</v>
      </c>
      <c r="W52" s="361">
        <f t="shared" si="3"/>
        <v>147920.76777693199</v>
      </c>
      <c r="X52" s="361">
        <f t="shared" si="4"/>
        <v>0</v>
      </c>
      <c r="Y52" s="361">
        <v>147920.76777693199</v>
      </c>
      <c r="Z52" s="362"/>
    </row>
    <row r="53" spans="1:26" x14ac:dyDescent="0.3">
      <c r="A53" s="98">
        <v>3400</v>
      </c>
      <c r="B53" s="348" t="s">
        <v>345</v>
      </c>
      <c r="C53" s="364">
        <v>3315</v>
      </c>
      <c r="D53" s="364">
        <v>4095</v>
      </c>
      <c r="E53" s="152">
        <v>3060</v>
      </c>
      <c r="F53" s="354">
        <f t="shared" si="5"/>
        <v>10470</v>
      </c>
      <c r="G53" s="152">
        <v>2613</v>
      </c>
      <c r="H53" s="152">
        <v>2613</v>
      </c>
      <c r="I53" s="152">
        <v>2412</v>
      </c>
      <c r="J53" s="354">
        <f t="shared" si="1"/>
        <v>7638</v>
      </c>
      <c r="K53" s="355">
        <v>4.9800000000000004</v>
      </c>
      <c r="L53" s="145"/>
      <c r="M53" s="356">
        <v>0.14864864864864868</v>
      </c>
      <c r="N53" s="357">
        <v>1556.3513513513517</v>
      </c>
      <c r="O53" s="358">
        <v>3374.4580723932004</v>
      </c>
      <c r="P53" s="359">
        <v>0.32229781016171921</v>
      </c>
      <c r="Q53" s="145"/>
      <c r="R53" s="145" t="s">
        <v>303</v>
      </c>
      <c r="S53" s="360">
        <v>0</v>
      </c>
      <c r="T53" s="358">
        <v>0</v>
      </c>
      <c r="U53" s="145"/>
      <c r="V53" s="365">
        <f t="shared" si="2"/>
        <v>5.3022978101617193</v>
      </c>
      <c r="W53" s="361">
        <f t="shared" si="3"/>
        <v>55515.0580723932</v>
      </c>
      <c r="X53" s="361">
        <f t="shared" si="4"/>
        <v>40498.950674015214</v>
      </c>
      <c r="Y53" s="361">
        <v>55515.058072393207</v>
      </c>
      <c r="Z53" s="362"/>
    </row>
    <row r="54" spans="1:26" x14ac:dyDescent="0.3">
      <c r="A54" s="98">
        <v>2004</v>
      </c>
      <c r="B54" s="348" t="s">
        <v>184</v>
      </c>
      <c r="C54" s="364">
        <v>11895</v>
      </c>
      <c r="D54" s="364">
        <v>8775</v>
      </c>
      <c r="E54" s="152">
        <v>10980</v>
      </c>
      <c r="F54" s="354">
        <f t="shared" si="5"/>
        <v>31650</v>
      </c>
      <c r="G54" s="152">
        <v>3705</v>
      </c>
      <c r="H54" s="152">
        <v>5850</v>
      </c>
      <c r="I54" s="152">
        <v>5400</v>
      </c>
      <c r="J54" s="354">
        <f t="shared" si="1"/>
        <v>14955</v>
      </c>
      <c r="K54" s="355">
        <v>4.9800000000000004</v>
      </c>
      <c r="L54" s="145"/>
      <c r="M54" s="356">
        <v>6.7362637362637354E-2</v>
      </c>
      <c r="N54" s="357">
        <v>2132.0274725274721</v>
      </c>
      <c r="O54" s="358">
        <v>4622.6305576742689</v>
      </c>
      <c r="P54" s="359">
        <v>0.14605467796759145</v>
      </c>
      <c r="Q54" s="145"/>
      <c r="R54" s="145" t="s">
        <v>303</v>
      </c>
      <c r="S54" s="360">
        <v>0</v>
      </c>
      <c r="T54" s="358">
        <v>0</v>
      </c>
      <c r="U54" s="145"/>
      <c r="V54" s="365">
        <f t="shared" si="2"/>
        <v>5.1260546779675922</v>
      </c>
      <c r="W54" s="361">
        <f t="shared" si="3"/>
        <v>162239.6305576743</v>
      </c>
      <c r="X54" s="361">
        <f t="shared" si="4"/>
        <v>76660.147709005338</v>
      </c>
      <c r="Y54" s="361">
        <v>236715.5305576743</v>
      </c>
      <c r="Z54" s="362"/>
    </row>
    <row r="55" spans="1:26" x14ac:dyDescent="0.3">
      <c r="A55" s="98">
        <v>2065</v>
      </c>
      <c r="B55" s="348" t="s">
        <v>346</v>
      </c>
      <c r="C55" s="364">
        <v>7800</v>
      </c>
      <c r="D55" s="364">
        <v>6630</v>
      </c>
      <c r="E55" s="152">
        <v>7200</v>
      </c>
      <c r="F55" s="354">
        <f t="shared" si="5"/>
        <v>21630</v>
      </c>
      <c r="G55" s="152">
        <v>0</v>
      </c>
      <c r="H55" s="152">
        <v>0</v>
      </c>
      <c r="I55" s="152">
        <v>0</v>
      </c>
      <c r="J55" s="354">
        <f t="shared" si="1"/>
        <v>0</v>
      </c>
      <c r="K55" s="355">
        <v>4.9800000000000004</v>
      </c>
      <c r="L55" s="145"/>
      <c r="M55" s="356">
        <v>0.10300000000000001</v>
      </c>
      <c r="N55" s="357">
        <v>2227.8900000000003</v>
      </c>
      <c r="O55" s="358">
        <v>4830.4782775280228</v>
      </c>
      <c r="P55" s="359">
        <v>0.22332308264114761</v>
      </c>
      <c r="Q55" s="145"/>
      <c r="R55" s="145" t="s">
        <v>303</v>
      </c>
      <c r="S55" s="360">
        <v>0</v>
      </c>
      <c r="T55" s="358">
        <v>0</v>
      </c>
      <c r="U55" s="145"/>
      <c r="V55" s="365">
        <f t="shared" si="2"/>
        <v>5.2033230826411483</v>
      </c>
      <c r="W55" s="361">
        <f t="shared" si="3"/>
        <v>112547.87827752804</v>
      </c>
      <c r="X55" s="361">
        <f t="shared" si="4"/>
        <v>0</v>
      </c>
      <c r="Y55" s="361">
        <v>112547.87827752803</v>
      </c>
      <c r="Z55" s="362"/>
    </row>
    <row r="56" spans="1:26" x14ac:dyDescent="0.3">
      <c r="A56" s="98">
        <v>2051</v>
      </c>
      <c r="B56" s="348" t="s">
        <v>347</v>
      </c>
      <c r="C56" s="364">
        <v>11505</v>
      </c>
      <c r="D56" s="364">
        <v>11700</v>
      </c>
      <c r="E56" s="152">
        <v>10800</v>
      </c>
      <c r="F56" s="354">
        <f t="shared" si="5"/>
        <v>34005</v>
      </c>
      <c r="G56" s="152">
        <v>0</v>
      </c>
      <c r="H56" s="152">
        <v>0</v>
      </c>
      <c r="I56" s="152">
        <v>0</v>
      </c>
      <c r="J56" s="354">
        <f t="shared" si="1"/>
        <v>0</v>
      </c>
      <c r="K56" s="355">
        <v>4.9800000000000004</v>
      </c>
      <c r="L56" s="145"/>
      <c r="M56" s="356">
        <v>0.2973737373737374</v>
      </c>
      <c r="N56" s="357">
        <v>10112.193939393941</v>
      </c>
      <c r="O56" s="358">
        <v>21925.109930199855</v>
      </c>
      <c r="P56" s="359">
        <v>0.64476135657108824</v>
      </c>
      <c r="Q56" s="145"/>
      <c r="R56" s="145" t="s">
        <v>299</v>
      </c>
      <c r="S56" s="360">
        <v>0.31</v>
      </c>
      <c r="T56" s="358">
        <v>10541.55</v>
      </c>
      <c r="U56" s="145"/>
      <c r="V56" s="365">
        <f t="shared" si="2"/>
        <v>5.9347613565710882</v>
      </c>
      <c r="W56" s="361">
        <f t="shared" si="3"/>
        <v>201811.55993019984</v>
      </c>
      <c r="X56" s="361">
        <f t="shared" si="4"/>
        <v>0</v>
      </c>
      <c r="Y56" s="361">
        <v>201811.55993019987</v>
      </c>
      <c r="Z56" s="362"/>
    </row>
    <row r="57" spans="1:26" x14ac:dyDescent="0.3">
      <c r="A57" s="98">
        <v>2069</v>
      </c>
      <c r="B57" s="348" t="s">
        <v>348</v>
      </c>
      <c r="C57" s="364">
        <v>9750</v>
      </c>
      <c r="D57" s="364">
        <v>9750</v>
      </c>
      <c r="E57" s="152">
        <v>9000</v>
      </c>
      <c r="F57" s="354">
        <f t="shared" si="5"/>
        <v>28500</v>
      </c>
      <c r="G57" s="152">
        <v>0</v>
      </c>
      <c r="H57" s="152">
        <v>0</v>
      </c>
      <c r="I57" s="152">
        <v>0</v>
      </c>
      <c r="J57" s="354">
        <f t="shared" si="1"/>
        <v>0</v>
      </c>
      <c r="K57" s="355">
        <v>4.9800000000000004</v>
      </c>
      <c r="L57" s="145"/>
      <c r="M57" s="356">
        <v>0.22897196261682223</v>
      </c>
      <c r="N57" s="357">
        <v>6525.700934579434</v>
      </c>
      <c r="O57" s="358">
        <v>14148.928632082496</v>
      </c>
      <c r="P57" s="359">
        <v>0.49645363621342092</v>
      </c>
      <c r="Q57" s="145"/>
      <c r="R57" s="145" t="s">
        <v>303</v>
      </c>
      <c r="S57" s="360">
        <v>0</v>
      </c>
      <c r="T57" s="358">
        <v>0</v>
      </c>
      <c r="U57" s="145"/>
      <c r="V57" s="365">
        <f t="shared" si="2"/>
        <v>5.4764536362134217</v>
      </c>
      <c r="W57" s="361">
        <f t="shared" si="3"/>
        <v>156078.92863208253</v>
      </c>
      <c r="X57" s="361">
        <f t="shared" si="4"/>
        <v>0</v>
      </c>
      <c r="Y57" s="361">
        <v>156078.9286320825</v>
      </c>
      <c r="Z57" s="362"/>
    </row>
    <row r="58" spans="1:26" x14ac:dyDescent="0.3">
      <c r="A58" s="98">
        <v>2074</v>
      </c>
      <c r="B58" s="348" t="s">
        <v>349</v>
      </c>
      <c r="C58" s="364">
        <v>11895</v>
      </c>
      <c r="D58" s="364">
        <v>12285</v>
      </c>
      <c r="E58" s="152">
        <v>10980</v>
      </c>
      <c r="F58" s="354">
        <f t="shared" si="5"/>
        <v>35160</v>
      </c>
      <c r="G58" s="152">
        <v>5070</v>
      </c>
      <c r="H58" s="152">
        <v>4875</v>
      </c>
      <c r="I58" s="152">
        <v>5220</v>
      </c>
      <c r="J58" s="354">
        <f t="shared" si="1"/>
        <v>15165</v>
      </c>
      <c r="K58" s="355">
        <v>4.9800000000000004</v>
      </c>
      <c r="L58" s="145"/>
      <c r="M58" s="356">
        <v>0.13483870967741932</v>
      </c>
      <c r="N58" s="357">
        <v>4740.9290322580628</v>
      </c>
      <c r="O58" s="358">
        <v>10279.212486085275</v>
      </c>
      <c r="P58" s="359">
        <v>0.29235530392733999</v>
      </c>
      <c r="Q58" s="145"/>
      <c r="R58" s="145" t="s">
        <v>303</v>
      </c>
      <c r="S58" s="360">
        <v>0</v>
      </c>
      <c r="T58" s="358">
        <v>0</v>
      </c>
      <c r="U58" s="145"/>
      <c r="V58" s="365">
        <f t="shared" si="2"/>
        <v>5.2723553039273403</v>
      </c>
      <c r="W58" s="361">
        <f t="shared" si="3"/>
        <v>185376.0124860853</v>
      </c>
      <c r="X58" s="361">
        <f t="shared" si="4"/>
        <v>79955.268184058121</v>
      </c>
      <c r="Y58" s="361">
        <v>260897.71248608531</v>
      </c>
      <c r="Z58" s="362"/>
    </row>
    <row r="59" spans="1:26" x14ac:dyDescent="0.3">
      <c r="A59" s="98">
        <v>2049</v>
      </c>
      <c r="B59" s="348" t="s">
        <v>350</v>
      </c>
      <c r="C59" s="364">
        <v>10920</v>
      </c>
      <c r="D59" s="364">
        <v>11310</v>
      </c>
      <c r="E59" s="152">
        <v>11340</v>
      </c>
      <c r="F59" s="354">
        <f t="shared" si="5"/>
        <v>33570</v>
      </c>
      <c r="G59" s="152">
        <v>1521</v>
      </c>
      <c r="H59" s="152">
        <v>1350</v>
      </c>
      <c r="I59" s="152">
        <v>1800</v>
      </c>
      <c r="J59" s="354">
        <f t="shared" si="1"/>
        <v>4671</v>
      </c>
      <c r="K59" s="355">
        <v>4.9800000000000004</v>
      </c>
      <c r="L59" s="145"/>
      <c r="M59" s="356">
        <v>0.23887640449438199</v>
      </c>
      <c r="N59" s="357">
        <v>8019.0808988764038</v>
      </c>
      <c r="O59" s="358">
        <v>17386.853070736146</v>
      </c>
      <c r="P59" s="359">
        <v>0.51792830118368027</v>
      </c>
      <c r="Q59" s="145"/>
      <c r="R59" s="145" t="s">
        <v>303</v>
      </c>
      <c r="S59" s="360">
        <v>0</v>
      </c>
      <c r="T59" s="358">
        <v>0</v>
      </c>
      <c r="U59" s="145"/>
      <c r="V59" s="365">
        <f t="shared" si="2"/>
        <v>5.4979283011836806</v>
      </c>
      <c r="W59" s="361">
        <f t="shared" si="3"/>
        <v>184565.45307073617</v>
      </c>
      <c r="X59" s="361">
        <f t="shared" si="4"/>
        <v>25680.823094828971</v>
      </c>
      <c r="Y59" s="361">
        <v>207827.03307073616</v>
      </c>
      <c r="Z59" s="362"/>
    </row>
    <row r="60" spans="1:26" x14ac:dyDescent="0.3">
      <c r="A60" s="98">
        <v>2060</v>
      </c>
      <c r="B60" s="348" t="s">
        <v>351</v>
      </c>
      <c r="C60" s="364">
        <v>22035</v>
      </c>
      <c r="D60" s="364">
        <v>23595</v>
      </c>
      <c r="E60" s="152">
        <v>20340</v>
      </c>
      <c r="F60" s="354">
        <f t="shared" si="5"/>
        <v>65970</v>
      </c>
      <c r="G60" s="152">
        <v>0</v>
      </c>
      <c r="H60" s="152">
        <v>0</v>
      </c>
      <c r="I60" s="152">
        <v>0</v>
      </c>
      <c r="J60" s="354">
        <f t="shared" si="1"/>
        <v>0</v>
      </c>
      <c r="K60" s="355">
        <v>4.9800000000000004</v>
      </c>
      <c r="L60" s="145"/>
      <c r="M60" s="356">
        <v>0.27410071942446035</v>
      </c>
      <c r="N60" s="357">
        <v>18082.424460431648</v>
      </c>
      <c r="O60" s="358">
        <v>39206.046331352285</v>
      </c>
      <c r="P60" s="359">
        <v>0.5943011419031724</v>
      </c>
      <c r="Q60" s="145"/>
      <c r="R60" s="145" t="s">
        <v>299</v>
      </c>
      <c r="S60" s="360">
        <v>0.31</v>
      </c>
      <c r="T60" s="358">
        <v>20450.7</v>
      </c>
      <c r="U60" s="145"/>
      <c r="V60" s="365">
        <f t="shared" si="2"/>
        <v>5.8843011419031725</v>
      </c>
      <c r="W60" s="361">
        <f t="shared" si="3"/>
        <v>388187.34633135231</v>
      </c>
      <c r="X60" s="361">
        <f t="shared" si="4"/>
        <v>0</v>
      </c>
      <c r="Y60" s="361">
        <v>388187.34633135231</v>
      </c>
      <c r="Z60" s="362"/>
    </row>
    <row r="61" spans="1:26" x14ac:dyDescent="0.3">
      <c r="A61" s="98">
        <v>2082</v>
      </c>
      <c r="B61" s="348" t="s">
        <v>352</v>
      </c>
      <c r="C61" s="364">
        <v>11505</v>
      </c>
      <c r="D61" s="364">
        <v>9165</v>
      </c>
      <c r="E61" s="152">
        <v>10440</v>
      </c>
      <c r="F61" s="354">
        <f t="shared" si="5"/>
        <v>31110</v>
      </c>
      <c r="G61" s="152">
        <v>0</v>
      </c>
      <c r="H61" s="152">
        <v>0</v>
      </c>
      <c r="I61" s="152">
        <v>0</v>
      </c>
      <c r="J61" s="354">
        <f t="shared" si="1"/>
        <v>0</v>
      </c>
      <c r="K61" s="355">
        <v>4.9800000000000004</v>
      </c>
      <c r="L61" s="145"/>
      <c r="M61" s="356">
        <v>0.25147368421052657</v>
      </c>
      <c r="N61" s="357">
        <v>7823.3463157894812</v>
      </c>
      <c r="O61" s="358">
        <v>16962.464231178368</v>
      </c>
      <c r="P61" s="359">
        <v>0.54524153748564341</v>
      </c>
      <c r="Q61" s="145"/>
      <c r="R61" s="145" t="s">
        <v>299</v>
      </c>
      <c r="S61" s="360">
        <v>0.31</v>
      </c>
      <c r="T61" s="358">
        <v>9644.1</v>
      </c>
      <c r="U61" s="145"/>
      <c r="V61" s="365">
        <f t="shared" si="2"/>
        <v>5.8352415374856434</v>
      </c>
      <c r="W61" s="361">
        <f t="shared" si="3"/>
        <v>181534.36423117836</v>
      </c>
      <c r="X61" s="361">
        <f t="shared" si="4"/>
        <v>0</v>
      </c>
      <c r="Y61" s="361">
        <v>181534.36423117839</v>
      </c>
      <c r="Z61" s="362"/>
    </row>
    <row r="62" spans="1:26" x14ac:dyDescent="0.3">
      <c r="A62" s="98"/>
      <c r="B62" s="348"/>
    </row>
  </sheetData>
  <mergeCells count="5">
    <mergeCell ref="C2:F2"/>
    <mergeCell ref="G2:J2"/>
    <mergeCell ref="M2:P2"/>
    <mergeCell ref="R2:T2"/>
    <mergeCell ref="V2:Z2"/>
  </mergeCells>
  <pageMargins left="0.70866141732283472" right="0.70866141732283472" top="0.74803149606299213" bottom="0.74803149606299213" header="0.31496062992125984" footer="0.31496062992125984"/>
  <pageSetup paperSize="9" scale="76" fitToWidth="2" fitToHeight="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B27EB-AFDA-4B85-A1F8-CCAF297371E9}">
  <sheetPr>
    <tabColor rgb="FF92D050"/>
    <pageSetUpPr fitToPage="1"/>
  </sheetPr>
  <dimension ref="A1:Q59"/>
  <sheetViews>
    <sheetView workbookViewId="0">
      <selection activeCell="J18" sqref="J18"/>
    </sheetView>
  </sheetViews>
  <sheetFormatPr defaultColWidth="9.1796875" defaultRowHeight="12.5" x14ac:dyDescent="0.25"/>
  <cols>
    <col min="1" max="1" width="15.54296875" style="186" bestFit="1" customWidth="1"/>
    <col min="2" max="2" width="35.7265625" style="186" bestFit="1" customWidth="1"/>
    <col min="3" max="5" width="15.453125" style="380" customWidth="1"/>
    <col min="6" max="6" width="12.26953125" style="380" bestFit="1" customWidth="1"/>
    <col min="7" max="15" width="9.1796875" style="186"/>
    <col min="16" max="16" width="56" style="186" hidden="1" customWidth="1"/>
    <col min="17" max="17" width="9.26953125" style="186" hidden="1" customWidth="1"/>
    <col min="18" max="16384" width="9.1796875" style="186"/>
  </cols>
  <sheetData>
    <row r="1" spans="1:17" ht="13" x14ac:dyDescent="0.3">
      <c r="A1" s="379" t="s">
        <v>353</v>
      </c>
    </row>
    <row r="2" spans="1:17" ht="13" thickBot="1" x14ac:dyDescent="0.3"/>
    <row r="3" spans="1:17" ht="13.5" thickBot="1" x14ac:dyDescent="0.35">
      <c r="A3" s="381" t="s">
        <v>33</v>
      </c>
      <c r="B3" s="382" t="s">
        <v>47</v>
      </c>
      <c r="P3" s="186" t="s">
        <v>42</v>
      </c>
      <c r="Q3" s="186">
        <v>2001</v>
      </c>
    </row>
    <row r="4" spans="1:17" ht="13.5" thickBot="1" x14ac:dyDescent="0.35">
      <c r="A4" s="381" t="s">
        <v>35</v>
      </c>
      <c r="B4" s="383">
        <f>VLOOKUP(B3,P:Q,2,0)</f>
        <v>3401</v>
      </c>
      <c r="P4" s="186" t="s">
        <v>47</v>
      </c>
      <c r="Q4" s="186">
        <v>3401</v>
      </c>
    </row>
    <row r="5" spans="1:17" ht="13" thickBot="1" x14ac:dyDescent="0.3">
      <c r="P5" s="186" t="s">
        <v>49</v>
      </c>
      <c r="Q5" s="186">
        <v>2003</v>
      </c>
    </row>
    <row r="6" spans="1:17" s="381" customFormat="1" ht="13" x14ac:dyDescent="0.3">
      <c r="A6" s="384"/>
      <c r="B6" s="385" t="s">
        <v>273</v>
      </c>
      <c r="C6" s="430" t="s">
        <v>354</v>
      </c>
      <c r="D6" s="430"/>
      <c r="E6" s="430"/>
      <c r="F6" s="386"/>
      <c r="P6" s="381" t="s">
        <v>50</v>
      </c>
      <c r="Q6" s="381">
        <v>2002</v>
      </c>
    </row>
    <row r="7" spans="1:17" ht="13.5" thickBot="1" x14ac:dyDescent="0.35">
      <c r="B7" s="387"/>
      <c r="C7" s="388" t="s">
        <v>355</v>
      </c>
      <c r="D7" s="389" t="s">
        <v>356</v>
      </c>
      <c r="E7" s="389" t="s">
        <v>357</v>
      </c>
      <c r="F7" s="390" t="s">
        <v>110</v>
      </c>
      <c r="P7" s="186" t="s">
        <v>52</v>
      </c>
      <c r="Q7" s="186">
        <v>3300</v>
      </c>
    </row>
    <row r="8" spans="1:17" ht="13" x14ac:dyDescent="0.3">
      <c r="B8" s="385" t="s">
        <v>358</v>
      </c>
      <c r="C8" s="391">
        <f>VLOOKUP(B4,EYSFF!A4:K61,3,0)</f>
        <v>17550</v>
      </c>
      <c r="D8" s="391">
        <f>VLOOKUP(B4,EYSFF!A4:K61,4,0)</f>
        <v>11895</v>
      </c>
      <c r="E8" s="391">
        <f>VLOOKUP(B4,EYSFF!A4:J61,5,0)</f>
        <v>16200</v>
      </c>
      <c r="F8" s="392">
        <f>SUM(C8:E8)</f>
        <v>45645</v>
      </c>
      <c r="P8" s="186" t="s">
        <v>54</v>
      </c>
      <c r="Q8" s="186">
        <v>5206</v>
      </c>
    </row>
    <row r="9" spans="1:17" ht="13" x14ac:dyDescent="0.3">
      <c r="B9" s="393" t="s">
        <v>359</v>
      </c>
      <c r="C9" s="394">
        <f>C8/195</f>
        <v>90</v>
      </c>
      <c r="D9" s="395">
        <f>D8/195</f>
        <v>61</v>
      </c>
      <c r="E9" s="395">
        <f>E8/180</f>
        <v>90</v>
      </c>
      <c r="F9" s="396"/>
      <c r="P9" s="186" t="s">
        <v>56</v>
      </c>
      <c r="Q9" s="186">
        <v>2084</v>
      </c>
    </row>
    <row r="10" spans="1:17" ht="13" x14ac:dyDescent="0.3">
      <c r="B10" s="393" t="s">
        <v>292</v>
      </c>
      <c r="C10" s="397">
        <f>VLOOKUP($B$4,EYSFF!$A$4:$V$61,22,0)</f>
        <v>5.8721026212005558</v>
      </c>
      <c r="D10" s="397">
        <f>VLOOKUP($B$4,EYSFF!$A$4:$V$61,22,0)</f>
        <v>5.8721026212005558</v>
      </c>
      <c r="E10" s="397">
        <f>VLOOKUP($B$4,EYSFF!$A$4:$V$61,22,0)</f>
        <v>5.8721026212005558</v>
      </c>
      <c r="F10" s="396"/>
      <c r="P10" s="186" t="s">
        <v>58</v>
      </c>
      <c r="Q10" s="186">
        <v>2010</v>
      </c>
    </row>
    <row r="11" spans="1:17" ht="13" x14ac:dyDescent="0.3">
      <c r="B11" s="393"/>
      <c r="C11" s="398"/>
      <c r="D11" s="399"/>
      <c r="E11" s="399"/>
      <c r="F11" s="396"/>
      <c r="P11" s="186" t="s">
        <v>60</v>
      </c>
      <c r="Q11" s="186">
        <v>2012</v>
      </c>
    </row>
    <row r="12" spans="1:17" ht="13" x14ac:dyDescent="0.3">
      <c r="B12" s="393" t="s">
        <v>360</v>
      </c>
      <c r="C12" s="400">
        <f>C8*C10</f>
        <v>103055.40100206976</v>
      </c>
      <c r="D12" s="401">
        <f t="shared" ref="D12:E12" si="0">D8*D10</f>
        <v>69848.660679180612</v>
      </c>
      <c r="E12" s="401">
        <f t="shared" si="0"/>
        <v>95128.062463449009</v>
      </c>
      <c r="F12" s="402">
        <f>SUM(C12:E12)</f>
        <v>268032.12414469937</v>
      </c>
      <c r="P12" s="186" t="s">
        <v>64</v>
      </c>
      <c r="Q12" s="186">
        <v>3410</v>
      </c>
    </row>
    <row r="13" spans="1:17" ht="13.5" thickBot="1" x14ac:dyDescent="0.35">
      <c r="B13" s="393"/>
      <c r="C13" s="403"/>
      <c r="D13" s="404"/>
      <c r="E13" s="404"/>
      <c r="F13" s="396"/>
      <c r="P13" s="186" t="s">
        <v>66</v>
      </c>
      <c r="Q13" s="186">
        <v>2078</v>
      </c>
    </row>
    <row r="14" spans="1:17" ht="13.5" thickBot="1" x14ac:dyDescent="0.35">
      <c r="B14" s="405" t="s">
        <v>361</v>
      </c>
      <c r="C14" s="406"/>
      <c r="D14" s="407"/>
      <c r="E14" s="407"/>
      <c r="F14" s="408"/>
      <c r="P14" s="186" t="s">
        <v>72</v>
      </c>
      <c r="Q14" s="186">
        <v>3307</v>
      </c>
    </row>
    <row r="15" spans="1:17" ht="13" x14ac:dyDescent="0.3">
      <c r="B15" s="393" t="s">
        <v>362</v>
      </c>
      <c r="C15" s="409">
        <f>C14*15*13</f>
        <v>0</v>
      </c>
      <c r="D15" s="409">
        <f t="shared" ref="D15" si="1">D14*15*13</f>
        <v>0</v>
      </c>
      <c r="E15" s="409">
        <f>E14*15*12</f>
        <v>0</v>
      </c>
      <c r="F15" s="410">
        <f>SUM(C15:E15)</f>
        <v>0</v>
      </c>
      <c r="P15" s="25" t="s">
        <v>74</v>
      </c>
      <c r="Q15" s="186">
        <v>2019</v>
      </c>
    </row>
    <row r="16" spans="1:17" ht="13" x14ac:dyDescent="0.3">
      <c r="B16" s="393" t="s">
        <v>292</v>
      </c>
      <c r="C16" s="397">
        <f>C10</f>
        <v>5.8721026212005558</v>
      </c>
      <c r="D16" s="411">
        <f>C10</f>
        <v>5.8721026212005558</v>
      </c>
      <c r="E16" s="411">
        <f>C10</f>
        <v>5.8721026212005558</v>
      </c>
      <c r="F16" s="396"/>
      <c r="P16" s="186" t="s">
        <v>76</v>
      </c>
      <c r="Q16" s="186">
        <v>2018</v>
      </c>
    </row>
    <row r="17" spans="2:17" ht="13" x14ac:dyDescent="0.3">
      <c r="B17" s="393"/>
      <c r="C17" s="398"/>
      <c r="D17" s="399"/>
      <c r="E17" s="399"/>
      <c r="F17" s="396"/>
      <c r="P17" s="186" t="s">
        <v>78</v>
      </c>
      <c r="Q17" s="186">
        <v>2076</v>
      </c>
    </row>
    <row r="18" spans="2:17" ht="13" x14ac:dyDescent="0.3">
      <c r="B18" s="393" t="s">
        <v>363</v>
      </c>
      <c r="C18" s="400">
        <f>C15*C16</f>
        <v>0</v>
      </c>
      <c r="D18" s="400">
        <f t="shared" ref="D18:E18" si="2">D15*D16</f>
        <v>0</v>
      </c>
      <c r="E18" s="400">
        <f t="shared" si="2"/>
        <v>0</v>
      </c>
      <c r="F18" s="402">
        <f>SUM(C18:E18)</f>
        <v>0</v>
      </c>
      <c r="P18" s="186" t="s">
        <v>80</v>
      </c>
      <c r="Q18" s="186">
        <v>2020</v>
      </c>
    </row>
    <row r="19" spans="2:17" ht="13" x14ac:dyDescent="0.3">
      <c r="B19" s="393"/>
      <c r="C19" s="412"/>
      <c r="D19" s="412"/>
      <c r="E19" s="412"/>
      <c r="F19" s="413"/>
      <c r="P19" s="25" t="s">
        <v>82</v>
      </c>
      <c r="Q19" s="186">
        <v>5203</v>
      </c>
    </row>
    <row r="20" spans="2:17" ht="13.5" thickBot="1" x14ac:dyDescent="0.35">
      <c r="B20" s="414" t="s">
        <v>364</v>
      </c>
      <c r="C20" s="415">
        <f>C18-C12</f>
        <v>-103055.40100206976</v>
      </c>
      <c r="D20" s="416">
        <f>D18-D12</f>
        <v>-69848.660679180612</v>
      </c>
      <c r="E20" s="416">
        <f>E18-E12</f>
        <v>-95128.062463449009</v>
      </c>
      <c r="F20" s="417">
        <f>F18-F12</f>
        <v>-268032.12414469937</v>
      </c>
      <c r="P20" s="186" t="s">
        <v>89</v>
      </c>
      <c r="Q20" s="186">
        <v>2024</v>
      </c>
    </row>
    <row r="21" spans="2:17" ht="13" x14ac:dyDescent="0.3">
      <c r="C21" s="418"/>
      <c r="P21" s="186" t="s">
        <v>94</v>
      </c>
      <c r="Q21" s="186">
        <v>2025</v>
      </c>
    </row>
    <row r="22" spans="2:17" x14ac:dyDescent="0.25">
      <c r="P22" s="186" t="s">
        <v>96</v>
      </c>
      <c r="Q22" s="186">
        <v>2026</v>
      </c>
    </row>
    <row r="23" spans="2:17" ht="13" thickBot="1" x14ac:dyDescent="0.3">
      <c r="P23" s="186" t="s">
        <v>100</v>
      </c>
      <c r="Q23" s="186">
        <v>5211</v>
      </c>
    </row>
    <row r="24" spans="2:17" ht="13" x14ac:dyDescent="0.3">
      <c r="B24" s="385" t="s">
        <v>274</v>
      </c>
      <c r="C24" s="430" t="s">
        <v>354</v>
      </c>
      <c r="D24" s="430"/>
      <c r="E24" s="430"/>
      <c r="F24" s="386"/>
      <c r="P24" s="186" t="s">
        <v>104</v>
      </c>
      <c r="Q24" s="186">
        <v>2029</v>
      </c>
    </row>
    <row r="25" spans="2:17" ht="13.5" thickBot="1" x14ac:dyDescent="0.35">
      <c r="B25" s="387"/>
      <c r="C25" s="388" t="s">
        <v>355</v>
      </c>
      <c r="D25" s="389" t="s">
        <v>356</v>
      </c>
      <c r="E25" s="389" t="s">
        <v>357</v>
      </c>
      <c r="F25" s="390" t="s">
        <v>110</v>
      </c>
      <c r="P25" s="186" t="s">
        <v>106</v>
      </c>
      <c r="Q25" s="186">
        <v>2061</v>
      </c>
    </row>
    <row r="26" spans="2:17" ht="13" x14ac:dyDescent="0.3">
      <c r="B26" s="385" t="s">
        <v>358</v>
      </c>
      <c r="C26" s="391">
        <f>VLOOKUP(B4,EYSFF!A4:J61,7,0)</f>
        <v>0</v>
      </c>
      <c r="D26" s="391">
        <f>VLOOKUP(B4,EYSFF!A4:K61,8,0)</f>
        <v>0</v>
      </c>
      <c r="E26" s="391">
        <f>VLOOKUP(B4,EYSFF!A4:L61,9,0)</f>
        <v>0</v>
      </c>
      <c r="F26" s="392">
        <f>SUM(C26:E26)</f>
        <v>0</v>
      </c>
      <c r="P26" s="186" t="s">
        <v>109</v>
      </c>
      <c r="Q26" s="186">
        <v>2021</v>
      </c>
    </row>
    <row r="27" spans="2:17" ht="13" x14ac:dyDescent="0.3">
      <c r="B27" s="393" t="s">
        <v>359</v>
      </c>
      <c r="C27" s="394">
        <f>C26/195</f>
        <v>0</v>
      </c>
      <c r="D27" s="395">
        <f>D26/195</f>
        <v>0</v>
      </c>
      <c r="E27" s="395">
        <f>E26/180</f>
        <v>0</v>
      </c>
      <c r="F27" s="396"/>
      <c r="P27" s="186" t="s">
        <v>111</v>
      </c>
      <c r="Q27" s="186">
        <v>2063</v>
      </c>
    </row>
    <row r="28" spans="2:17" ht="13" x14ac:dyDescent="0.3">
      <c r="B28" s="393" t="s">
        <v>292</v>
      </c>
      <c r="C28" s="397">
        <f>C10</f>
        <v>5.8721026212005558</v>
      </c>
      <c r="D28" s="397">
        <f>D10</f>
        <v>5.8721026212005558</v>
      </c>
      <c r="E28" s="397">
        <f>E10</f>
        <v>5.8721026212005558</v>
      </c>
      <c r="F28" s="396"/>
      <c r="P28" s="186" t="s">
        <v>112</v>
      </c>
      <c r="Q28" s="186">
        <v>2081</v>
      </c>
    </row>
    <row r="29" spans="2:17" ht="13" x14ac:dyDescent="0.3">
      <c r="B29" s="393"/>
      <c r="C29" s="398"/>
      <c r="D29" s="399"/>
      <c r="E29" s="399"/>
      <c r="F29" s="396"/>
      <c r="P29" s="186" t="s">
        <v>114</v>
      </c>
      <c r="Q29" s="186">
        <v>5204</v>
      </c>
    </row>
    <row r="30" spans="2:17" ht="13" x14ac:dyDescent="0.3">
      <c r="B30" s="393" t="s">
        <v>360</v>
      </c>
      <c r="C30" s="400">
        <f>C26*C28</f>
        <v>0</v>
      </c>
      <c r="D30" s="401">
        <f t="shared" ref="D30:E30" si="3">D26*D28</f>
        <v>0</v>
      </c>
      <c r="E30" s="401">
        <f t="shared" si="3"/>
        <v>0</v>
      </c>
      <c r="F30" s="402">
        <f>SUM(C30:E30)</f>
        <v>0</v>
      </c>
      <c r="P30" s="186" t="s">
        <v>118</v>
      </c>
      <c r="Q30" s="186">
        <v>3302</v>
      </c>
    </row>
    <row r="31" spans="2:17" ht="13.5" thickBot="1" x14ac:dyDescent="0.35">
      <c r="B31" s="393"/>
      <c r="C31" s="403"/>
      <c r="D31" s="404"/>
      <c r="E31" s="404"/>
      <c r="F31" s="396"/>
      <c r="P31" s="186" t="s">
        <v>120</v>
      </c>
      <c r="Q31" s="186">
        <v>2027</v>
      </c>
    </row>
    <row r="32" spans="2:17" ht="13.5" thickBot="1" x14ac:dyDescent="0.35">
      <c r="B32" s="405" t="s">
        <v>361</v>
      </c>
      <c r="C32" s="406"/>
      <c r="D32" s="407"/>
      <c r="E32" s="407"/>
      <c r="F32" s="408"/>
      <c r="P32" s="186" t="s">
        <v>122</v>
      </c>
      <c r="Q32" s="186">
        <v>2033</v>
      </c>
    </row>
    <row r="33" spans="2:17" ht="13" x14ac:dyDescent="0.3">
      <c r="B33" s="393" t="s">
        <v>362</v>
      </c>
      <c r="C33" s="409">
        <f>C32*15*13</f>
        <v>0</v>
      </c>
      <c r="D33" s="409">
        <f t="shared" ref="D33" si="4">D32*15*13</f>
        <v>0</v>
      </c>
      <c r="E33" s="409">
        <f>E32*15*12</f>
        <v>0</v>
      </c>
      <c r="F33" s="410">
        <f>SUM(C33:E33)</f>
        <v>0</v>
      </c>
      <c r="P33" s="186" t="s">
        <v>126</v>
      </c>
      <c r="Q33" s="186">
        <v>2028</v>
      </c>
    </row>
    <row r="34" spans="2:17" ht="13" x14ac:dyDescent="0.3">
      <c r="B34" s="393" t="s">
        <v>292</v>
      </c>
      <c r="C34" s="397">
        <f>C28</f>
        <v>5.8721026212005558</v>
      </c>
      <c r="D34" s="411">
        <f>C28</f>
        <v>5.8721026212005558</v>
      </c>
      <c r="E34" s="411">
        <f>C28</f>
        <v>5.8721026212005558</v>
      </c>
      <c r="F34" s="396"/>
      <c r="P34" s="186" t="s">
        <v>127</v>
      </c>
      <c r="Q34" s="186">
        <v>2017</v>
      </c>
    </row>
    <row r="35" spans="2:17" ht="13" x14ac:dyDescent="0.3">
      <c r="B35" s="393"/>
      <c r="C35" s="398"/>
      <c r="D35" s="399"/>
      <c r="E35" s="399"/>
      <c r="F35" s="396"/>
      <c r="P35" s="186" t="s">
        <v>365</v>
      </c>
      <c r="Q35" s="186">
        <v>1000</v>
      </c>
    </row>
    <row r="36" spans="2:17" ht="13" x14ac:dyDescent="0.3">
      <c r="B36" s="393" t="s">
        <v>363</v>
      </c>
      <c r="C36" s="400">
        <f>C33*C34</f>
        <v>0</v>
      </c>
      <c r="D36" s="400">
        <f t="shared" ref="D36:E36" si="5">D33*D34</f>
        <v>0</v>
      </c>
      <c r="E36" s="400">
        <f t="shared" si="5"/>
        <v>0</v>
      </c>
      <c r="F36" s="402">
        <f>SUM(C36:E36)</f>
        <v>0</v>
      </c>
      <c r="P36" s="186" t="s">
        <v>129</v>
      </c>
      <c r="Q36" s="186">
        <v>2037</v>
      </c>
    </row>
    <row r="37" spans="2:17" ht="13" x14ac:dyDescent="0.3">
      <c r="B37" s="393"/>
      <c r="C37" s="412"/>
      <c r="D37" s="412"/>
      <c r="E37" s="412"/>
      <c r="F37" s="413"/>
      <c r="P37" s="186" t="s">
        <v>135</v>
      </c>
      <c r="Q37" s="186">
        <v>2039</v>
      </c>
    </row>
    <row r="38" spans="2:17" ht="13.5" thickBot="1" x14ac:dyDescent="0.35">
      <c r="B38" s="414" t="s">
        <v>364</v>
      </c>
      <c r="C38" s="415">
        <f>C36-C30</f>
        <v>0</v>
      </c>
      <c r="D38" s="416">
        <f>D36-D30</f>
        <v>0</v>
      </c>
      <c r="E38" s="416">
        <f>E36-E30</f>
        <v>0</v>
      </c>
      <c r="F38" s="417">
        <f>F36-F30</f>
        <v>0</v>
      </c>
      <c r="P38" s="186" t="s">
        <v>139</v>
      </c>
      <c r="Q38" s="186">
        <v>5200</v>
      </c>
    </row>
    <row r="39" spans="2:17" x14ac:dyDescent="0.25">
      <c r="P39" s="186" t="s">
        <v>150</v>
      </c>
      <c r="Q39" s="186">
        <v>2040</v>
      </c>
    </row>
    <row r="40" spans="2:17" x14ac:dyDescent="0.25">
      <c r="P40" s="186" t="s">
        <v>152</v>
      </c>
      <c r="Q40" s="186">
        <v>2064</v>
      </c>
    </row>
    <row r="41" spans="2:17" ht="13" x14ac:dyDescent="0.3">
      <c r="B41" s="419" t="s">
        <v>366</v>
      </c>
      <c r="P41" s="186" t="s">
        <v>157</v>
      </c>
      <c r="Q41" s="186">
        <v>2045</v>
      </c>
    </row>
    <row r="42" spans="2:17" x14ac:dyDescent="0.25">
      <c r="P42" s="186" t="s">
        <v>159</v>
      </c>
      <c r="Q42" s="186">
        <v>2080</v>
      </c>
    </row>
    <row r="43" spans="2:17" x14ac:dyDescent="0.25">
      <c r="B43" s="186" t="s">
        <v>367</v>
      </c>
      <c r="P43" s="186" t="s">
        <v>164</v>
      </c>
      <c r="Q43" s="186">
        <v>2048</v>
      </c>
    </row>
    <row r="44" spans="2:17" x14ac:dyDescent="0.25">
      <c r="B44" s="186" t="s">
        <v>368</v>
      </c>
      <c r="P44" s="186" t="s">
        <v>168</v>
      </c>
      <c r="Q44" s="186">
        <v>3405</v>
      </c>
    </row>
    <row r="45" spans="2:17" x14ac:dyDescent="0.25">
      <c r="B45" s="186" t="s">
        <v>369</v>
      </c>
      <c r="P45" s="186" t="s">
        <v>172</v>
      </c>
      <c r="Q45" s="186">
        <v>5208</v>
      </c>
    </row>
    <row r="46" spans="2:17" x14ac:dyDescent="0.25">
      <c r="B46" s="186" t="s">
        <v>370</v>
      </c>
      <c r="P46" s="186" t="s">
        <v>174</v>
      </c>
      <c r="Q46" s="186">
        <v>3402</v>
      </c>
    </row>
    <row r="47" spans="2:17" x14ac:dyDescent="0.25">
      <c r="B47" s="186" t="s">
        <v>371</v>
      </c>
      <c r="P47" s="186" t="s">
        <v>175</v>
      </c>
      <c r="Q47" s="186">
        <v>2035</v>
      </c>
    </row>
    <row r="48" spans="2:17" x14ac:dyDescent="0.25">
      <c r="P48" s="186" t="s">
        <v>178</v>
      </c>
      <c r="Q48" s="186">
        <v>3404</v>
      </c>
    </row>
    <row r="49" spans="16:17" x14ac:dyDescent="0.25">
      <c r="P49" s="186" t="s">
        <v>179</v>
      </c>
      <c r="Q49" s="186">
        <v>3306</v>
      </c>
    </row>
    <row r="50" spans="16:17" x14ac:dyDescent="0.25">
      <c r="P50" s="186" t="s">
        <v>181</v>
      </c>
      <c r="Q50" s="186">
        <v>3400</v>
      </c>
    </row>
    <row r="51" spans="16:17" x14ac:dyDescent="0.25">
      <c r="P51" s="186" t="s">
        <v>182</v>
      </c>
      <c r="Q51" s="186">
        <v>3403</v>
      </c>
    </row>
    <row r="52" spans="16:17" x14ac:dyDescent="0.25">
      <c r="P52" s="186" t="s">
        <v>184</v>
      </c>
      <c r="Q52" s="186">
        <v>2004</v>
      </c>
    </row>
    <row r="53" spans="16:17" x14ac:dyDescent="0.25">
      <c r="P53" s="186" t="s">
        <v>190</v>
      </c>
      <c r="Q53" s="186">
        <v>2065</v>
      </c>
    </row>
    <row r="54" spans="16:17" x14ac:dyDescent="0.25">
      <c r="P54" s="186" t="s">
        <v>191</v>
      </c>
      <c r="Q54" s="186">
        <v>2051</v>
      </c>
    </row>
    <row r="55" spans="16:17" x14ac:dyDescent="0.25">
      <c r="P55" s="186" t="s">
        <v>192</v>
      </c>
      <c r="Q55" s="186">
        <v>2069</v>
      </c>
    </row>
    <row r="56" spans="16:17" x14ac:dyDescent="0.25">
      <c r="P56" s="186" t="s">
        <v>194</v>
      </c>
      <c r="Q56" s="186">
        <v>2074</v>
      </c>
    </row>
    <row r="57" spans="16:17" x14ac:dyDescent="0.25">
      <c r="P57" s="186" t="s">
        <v>196</v>
      </c>
      <c r="Q57" s="186">
        <v>2049</v>
      </c>
    </row>
    <row r="58" spans="16:17" x14ac:dyDescent="0.25">
      <c r="P58" s="186" t="s">
        <v>197</v>
      </c>
      <c r="Q58" s="186">
        <v>2082</v>
      </c>
    </row>
    <row r="59" spans="16:17" x14ac:dyDescent="0.25">
      <c r="P59" s="186" t="s">
        <v>198</v>
      </c>
      <c r="Q59" s="186">
        <v>2060</v>
      </c>
    </row>
  </sheetData>
  <mergeCells count="2">
    <mergeCell ref="C6:E6"/>
    <mergeCell ref="C24:E24"/>
  </mergeCells>
  <conditionalFormatting sqref="Q36">
    <cfRule type="duplicateValues" dxfId="3" priority="1"/>
  </conditionalFormatting>
  <conditionalFormatting sqref="Q37:Q59 Q3:Q35">
    <cfRule type="duplicateValues" dxfId="2" priority="2"/>
  </conditionalFormatting>
  <dataValidations count="1">
    <dataValidation type="list" allowBlank="1" showInputMessage="1" showErrorMessage="1" promptTitle="Please select school" sqref="B3" xr:uid="{1852C7B7-58F3-47B1-89E8-A54EC1CB8D68}">
      <formula1>$P$3:$P$59</formula1>
    </dataValidation>
  </dataValidations>
  <pageMargins left="0.70866141732283472" right="0.70866141732283472" top="0.74803149606299213" bottom="0.74803149606299213" header="0.31496062992125984" footer="0.31496062992125984"/>
  <pageSetup paperSize="9" scale="8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F34"/>
  <sheetViews>
    <sheetView topLeftCell="A10" workbookViewId="0">
      <selection activeCell="F27" sqref="F27"/>
    </sheetView>
  </sheetViews>
  <sheetFormatPr defaultColWidth="12.7265625" defaultRowHeight="12.5" x14ac:dyDescent="0.25"/>
  <cols>
    <col min="1" max="1" width="19.26953125" style="25" customWidth="1"/>
    <col min="2" max="4" width="12.7265625" style="25" customWidth="1"/>
    <col min="5" max="5" width="4.7265625" style="25" customWidth="1"/>
    <col min="6" max="6" width="15.54296875" style="25" bestFit="1" customWidth="1"/>
    <col min="7" max="16384" width="12.7265625" style="25"/>
  </cols>
  <sheetData>
    <row r="1" spans="1:6" ht="15.5" x14ac:dyDescent="0.35">
      <c r="A1" s="25" t="s">
        <v>372</v>
      </c>
      <c r="B1" s="26" t="s">
        <v>373</v>
      </c>
    </row>
    <row r="2" spans="1:6" ht="13" x14ac:dyDescent="0.3">
      <c r="A2" s="27"/>
      <c r="B2" s="33"/>
    </row>
    <row r="3" spans="1:6" ht="13" x14ac:dyDescent="0.3">
      <c r="A3" s="3" t="s">
        <v>35</v>
      </c>
      <c r="B3">
        <v>1000</v>
      </c>
    </row>
    <row r="4" spans="1:6" ht="13" x14ac:dyDescent="0.3">
      <c r="A4" s="3"/>
    </row>
    <row r="5" spans="1:6" ht="13" x14ac:dyDescent="0.3">
      <c r="F5" s="27" t="s">
        <v>374</v>
      </c>
    </row>
    <row r="6" spans="1:6" ht="13" x14ac:dyDescent="0.3">
      <c r="A6" s="27"/>
      <c r="F6" s="27" t="s">
        <v>278</v>
      </c>
    </row>
    <row r="7" spans="1:6" ht="13" x14ac:dyDescent="0.3">
      <c r="A7" s="27"/>
      <c r="D7" s="27" t="s">
        <v>375</v>
      </c>
      <c r="F7" s="27" t="s">
        <v>376</v>
      </c>
    </row>
    <row r="8" spans="1:6" x14ac:dyDescent="0.25">
      <c r="D8" s="25" t="s">
        <v>377</v>
      </c>
      <c r="F8" s="25" t="s">
        <v>378</v>
      </c>
    </row>
    <row r="10" spans="1:6" x14ac:dyDescent="0.25">
      <c r="A10" s="25" t="s">
        <v>379</v>
      </c>
      <c r="D10" s="29"/>
      <c r="E10" s="29"/>
      <c r="F10" s="93">
        <f>'EYSFF (Universal)'!W6</f>
        <v>0</v>
      </c>
    </row>
    <row r="11" spans="1:6" x14ac:dyDescent="0.25">
      <c r="D11" s="29"/>
      <c r="E11" s="29"/>
      <c r="F11" s="301"/>
    </row>
    <row r="12" spans="1:6" ht="13.5" customHeight="1" x14ac:dyDescent="0.25">
      <c r="D12" s="29"/>
      <c r="E12" s="29"/>
      <c r="F12" s="29"/>
    </row>
    <row r="13" spans="1:6" ht="13.5" customHeight="1" x14ac:dyDescent="0.25">
      <c r="A13" s="28" t="s">
        <v>375</v>
      </c>
      <c r="D13" s="29"/>
      <c r="E13" s="29"/>
      <c r="F13" s="29"/>
    </row>
    <row r="14" spans="1:6" ht="13.5" customHeight="1" x14ac:dyDescent="0.25">
      <c r="A14" s="25" t="s">
        <v>380</v>
      </c>
      <c r="D14" s="214">
        <f>'EYSFF (Universal)'!J6</f>
        <v>0</v>
      </c>
      <c r="E14" s="29"/>
      <c r="F14" s="29"/>
    </row>
    <row r="15" spans="1:6" ht="13.5" customHeight="1" x14ac:dyDescent="0.25">
      <c r="A15" s="25" t="s">
        <v>381</v>
      </c>
      <c r="D15" s="214">
        <f>'EYSFF (Universal)'!N6</f>
        <v>0</v>
      </c>
      <c r="E15" s="29"/>
      <c r="F15" s="29"/>
    </row>
    <row r="16" spans="1:6" ht="13.5" customHeight="1" thickBot="1" x14ac:dyDescent="0.3">
      <c r="A16" s="25" t="s">
        <v>277</v>
      </c>
      <c r="D16" s="214">
        <f>'EYSFF (Universal)'!R6</f>
        <v>0</v>
      </c>
      <c r="E16" s="29"/>
      <c r="F16" s="29"/>
    </row>
    <row r="17" spans="1:6" ht="13" thickBot="1" x14ac:dyDescent="0.3">
      <c r="A17" s="25" t="s">
        <v>382</v>
      </c>
      <c r="D17" s="30">
        <f>SUM(D14:D16)</f>
        <v>0</v>
      </c>
      <c r="E17" s="29"/>
      <c r="F17" s="29"/>
    </row>
    <row r="18" spans="1:6" ht="13" thickBot="1" x14ac:dyDescent="0.3">
      <c r="D18" s="29"/>
      <c r="E18" s="29"/>
      <c r="F18" s="29"/>
    </row>
    <row r="19" spans="1:6" ht="13" thickBot="1" x14ac:dyDescent="0.3">
      <c r="A19" s="25" t="s">
        <v>383</v>
      </c>
      <c r="D19" s="31">
        <f>'EYSFF (Universal)'!H6</f>
        <v>0</v>
      </c>
      <c r="E19" s="29"/>
      <c r="F19" s="29">
        <f>D19*D17</f>
        <v>0</v>
      </c>
    </row>
    <row r="20" spans="1:6" ht="13" thickBot="1" x14ac:dyDescent="0.3">
      <c r="A20" s="25" t="s">
        <v>384</v>
      </c>
      <c r="D20" s="31">
        <f>'EYSFF (Additional)'!H9</f>
        <v>0</v>
      </c>
      <c r="E20" s="29"/>
      <c r="F20" s="29">
        <f>D20*D17</f>
        <v>0</v>
      </c>
    </row>
    <row r="22" spans="1:6" x14ac:dyDescent="0.25">
      <c r="A22" s="25" t="s">
        <v>385</v>
      </c>
      <c r="F22" s="32">
        <f>D17*D19+D17*D20</f>
        <v>0</v>
      </c>
    </row>
    <row r="23" spans="1:6" ht="13" thickBot="1" x14ac:dyDescent="0.3"/>
    <row r="24" spans="1:6" ht="16" thickBot="1" x14ac:dyDescent="0.4">
      <c r="A24" s="35" t="s">
        <v>386</v>
      </c>
      <c r="B24" s="36"/>
      <c r="C24" s="36"/>
      <c r="D24" s="36"/>
      <c r="E24" s="36"/>
      <c r="F24" s="34">
        <f>F10+F22</f>
        <v>0</v>
      </c>
    </row>
    <row r="25" spans="1:6" x14ac:dyDescent="0.25">
      <c r="F25" s="29"/>
    </row>
    <row r="27" spans="1:6" ht="13" x14ac:dyDescent="0.3">
      <c r="A27" s="27" t="s">
        <v>387</v>
      </c>
      <c r="F27" s="106">
        <f>VLOOKUP($B$3,'All Schools'!$B$5:$CK$98,77,0)</f>
        <v>27708.333333333336</v>
      </c>
    </row>
    <row r="28" spans="1:6" ht="13" x14ac:dyDescent="0.3">
      <c r="A28" s="27"/>
    </row>
    <row r="29" spans="1:6" ht="13" x14ac:dyDescent="0.3">
      <c r="A29" s="27" t="s">
        <v>388</v>
      </c>
    </row>
    <row r="31" spans="1:6" x14ac:dyDescent="0.25">
      <c r="A31" s="25" t="s">
        <v>389</v>
      </c>
      <c r="F31" s="274">
        <f>VLOOKUP($B$3,'All Schools'!$B$5:$CK$98,82,0)</f>
        <v>0</v>
      </c>
    </row>
    <row r="32" spans="1:6" x14ac:dyDescent="0.25">
      <c r="A32" s="25" t="s">
        <v>390</v>
      </c>
      <c r="F32" s="106">
        <f>VLOOKUP($B$3,'All Schools'!$B$5:$CK$98,83,0)</f>
        <v>0</v>
      </c>
    </row>
    <row r="33" spans="1:6" ht="13" thickBot="1" x14ac:dyDescent="0.3"/>
    <row r="34" spans="1:6" ht="16" thickBot="1" x14ac:dyDescent="0.4">
      <c r="A34" s="29"/>
      <c r="F34" s="34">
        <f>SUM(F24:F32)</f>
        <v>27708.333333333336</v>
      </c>
    </row>
  </sheetData>
  <phoneticPr fontId="2"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sheetPr>
  <dimension ref="A1:Y67"/>
  <sheetViews>
    <sheetView view="pageBreakPreview" zoomScale="80" zoomScaleNormal="110" zoomScaleSheetLayoutView="80" workbookViewId="0">
      <pane xSplit="3" ySplit="5" topLeftCell="I6" activePane="bottomRight" state="frozen"/>
      <selection pane="topRight" activeCell="D1" sqref="D1"/>
      <selection pane="bottomLeft" activeCell="A6" sqref="A6"/>
      <selection pane="bottomRight" activeCell="B22" sqref="B22"/>
    </sheetView>
  </sheetViews>
  <sheetFormatPr defaultColWidth="9.1796875" defaultRowHeight="14.5" x14ac:dyDescent="0.35"/>
  <cols>
    <col min="1" max="1" width="5.54296875" bestFit="1" customWidth="1"/>
    <col min="2" max="2" width="32.54296875" customWidth="1"/>
    <col min="3" max="3" width="9.26953125" customWidth="1"/>
    <col min="4" max="4" width="1" customWidth="1"/>
    <col min="5" max="5" width="11.1796875" customWidth="1"/>
    <col min="6" max="6" width="12.453125" customWidth="1"/>
    <col min="7" max="7" width="12.26953125" style="57" customWidth="1"/>
    <col min="8" max="8" width="14.7265625" style="58" customWidth="1"/>
    <col min="9" max="9" width="2.81640625" style="58" customWidth="1"/>
    <col min="10" max="11" width="14.81640625" customWidth="1"/>
    <col min="12" max="12" width="3.1796875" customWidth="1"/>
    <col min="13" max="13" width="14.7265625" style="256" customWidth="1"/>
    <col min="14" max="14" width="12.453125" customWidth="1"/>
    <col min="15" max="15" width="14.26953125" customWidth="1"/>
    <col min="16" max="16" width="2.81640625" customWidth="1"/>
    <col min="17" max="17" width="14.81640625" customWidth="1"/>
    <col min="18" max="18" width="14.81640625" style="54" customWidth="1"/>
    <col min="19" max="19" width="14.81640625" customWidth="1"/>
    <col min="20" max="20" width="1.81640625" customWidth="1"/>
    <col min="21" max="21" width="14.7265625" style="58" customWidth="1"/>
    <col min="22" max="22" width="16.1796875" style="58" bestFit="1" customWidth="1"/>
    <col min="23" max="23" width="14.81640625" style="59" customWidth="1"/>
    <col min="24" max="24" width="3.54296875" customWidth="1"/>
    <col min="25" max="25" width="10.7265625" customWidth="1"/>
    <col min="26" max="26" width="1.54296875" customWidth="1"/>
  </cols>
  <sheetData>
    <row r="1" spans="1:25" ht="21" x14ac:dyDescent="0.5">
      <c r="B1" s="56" t="s">
        <v>391</v>
      </c>
      <c r="J1" s="58"/>
    </row>
    <row r="2" spans="1:25" x14ac:dyDescent="0.35">
      <c r="J2" s="58"/>
    </row>
    <row r="3" spans="1:25" x14ac:dyDescent="0.35">
      <c r="E3" s="431" t="s">
        <v>358</v>
      </c>
      <c r="F3" s="432"/>
      <c r="G3" s="432"/>
      <c r="H3" s="433"/>
      <c r="J3" s="434" t="s">
        <v>392</v>
      </c>
      <c r="K3" s="435"/>
      <c r="M3" s="436" t="s">
        <v>393</v>
      </c>
      <c r="N3" s="436"/>
      <c r="O3" s="436"/>
      <c r="Q3" s="437" t="s">
        <v>394</v>
      </c>
      <c r="R3" s="438"/>
      <c r="S3" s="439"/>
    </row>
    <row r="4" spans="1:25" x14ac:dyDescent="0.35">
      <c r="E4" s="51"/>
      <c r="F4" s="50"/>
      <c r="G4" t="s">
        <v>395</v>
      </c>
      <c r="H4" s="60"/>
      <c r="J4" s="61"/>
      <c r="K4" s="62">
        <v>0.91</v>
      </c>
      <c r="M4" s="257"/>
      <c r="O4" s="102">
        <v>7.0000000000000007E-2</v>
      </c>
      <c r="Q4" s="51"/>
      <c r="R4" s="63"/>
      <c r="S4" s="62">
        <v>0.02</v>
      </c>
    </row>
    <row r="5" spans="1:25" s="49" customFormat="1" ht="37.5" x14ac:dyDescent="0.35">
      <c r="B5" s="64" t="s">
        <v>396</v>
      </c>
      <c r="C5" s="65" t="s">
        <v>397</v>
      </c>
      <c r="E5" s="270" t="s">
        <v>398</v>
      </c>
      <c r="F5" s="270" t="s">
        <v>399</v>
      </c>
      <c r="G5" s="270" t="s">
        <v>400</v>
      </c>
      <c r="H5" s="271" t="s">
        <v>401</v>
      </c>
      <c r="I5" s="68"/>
      <c r="J5" s="270" t="s">
        <v>402</v>
      </c>
      <c r="K5" s="270" t="s">
        <v>403</v>
      </c>
      <c r="M5" s="270" t="s">
        <v>287</v>
      </c>
      <c r="N5" s="270" t="s">
        <v>404</v>
      </c>
      <c r="O5" s="270" t="s">
        <v>405</v>
      </c>
      <c r="Q5" s="66" t="s">
        <v>291</v>
      </c>
      <c r="R5" s="92" t="s">
        <v>406</v>
      </c>
      <c r="S5" s="91" t="s">
        <v>407</v>
      </c>
      <c r="U5" s="67" t="s">
        <v>408</v>
      </c>
      <c r="V5" s="67" t="s">
        <v>409</v>
      </c>
      <c r="W5" s="69" t="s">
        <v>410</v>
      </c>
      <c r="Y5" s="270" t="s">
        <v>411</v>
      </c>
    </row>
    <row r="6" spans="1:25" x14ac:dyDescent="0.35">
      <c r="A6">
        <v>1000</v>
      </c>
      <c r="B6" s="94" t="s">
        <v>269</v>
      </c>
      <c r="C6" s="110" t="s">
        <v>280</v>
      </c>
      <c r="E6" s="88"/>
      <c r="F6" s="88"/>
      <c r="G6" s="88"/>
      <c r="H6" s="90">
        <f t="shared" ref="H6:H60" si="0">SUM(E6:G6)</f>
        <v>0</v>
      </c>
      <c r="J6" s="183"/>
      <c r="K6" s="184">
        <f>H6*J6</f>
        <v>0</v>
      </c>
      <c r="M6" s="284"/>
      <c r="N6" s="285"/>
      <c r="O6" s="179">
        <f t="shared" ref="O6:O62" si="1">H6*N6</f>
        <v>0</v>
      </c>
      <c r="P6" s="11"/>
      <c r="Q6" s="11" t="str">
        <f>IF(M6&gt;0.25,"Y","N")</f>
        <v>N</v>
      </c>
      <c r="R6" s="286">
        <v>0</v>
      </c>
      <c r="S6" s="179">
        <f t="shared" ref="S6:S54" si="2">H6*R6</f>
        <v>0</v>
      </c>
      <c r="T6" s="290"/>
      <c r="U6" s="215">
        <f t="shared" ref="U6:U62" si="3">J6+N6+R6</f>
        <v>0</v>
      </c>
      <c r="V6" s="291">
        <f>H6*U6</f>
        <v>0</v>
      </c>
      <c r="W6" s="287"/>
    </row>
    <row r="7" spans="1:25" x14ac:dyDescent="0.35">
      <c r="A7">
        <v>2001</v>
      </c>
      <c r="B7" s="94" t="s">
        <v>42</v>
      </c>
      <c r="C7" s="110" t="s">
        <v>280</v>
      </c>
      <c r="E7" s="88"/>
      <c r="F7" s="88"/>
      <c r="G7" s="88"/>
      <c r="H7" s="90">
        <f t="shared" si="0"/>
        <v>0</v>
      </c>
      <c r="J7" s="183">
        <f>$J$6</f>
        <v>0</v>
      </c>
      <c r="K7" s="184">
        <f t="shared" ref="K7:K54" si="4">H7*J7</f>
        <v>0</v>
      </c>
      <c r="M7" s="284"/>
      <c r="N7" s="285"/>
      <c r="O7" s="179">
        <f t="shared" si="1"/>
        <v>0</v>
      </c>
      <c r="P7" s="11"/>
      <c r="Q7" s="11" t="str">
        <f t="shared" ref="Q7:Q29" si="5">IF(M7&gt;0.25,"Y","N")</f>
        <v>N</v>
      </c>
      <c r="R7" s="286">
        <v>0</v>
      </c>
      <c r="S7" s="179">
        <f t="shared" si="2"/>
        <v>0</v>
      </c>
      <c r="T7" s="290"/>
      <c r="U7" s="215">
        <f t="shared" si="3"/>
        <v>0</v>
      </c>
      <c r="V7" s="291">
        <f t="shared" ref="V7:V54" si="6">H7*U7</f>
        <v>0</v>
      </c>
      <c r="W7" s="288"/>
    </row>
    <row r="8" spans="1:25" x14ac:dyDescent="0.35">
      <c r="A8">
        <v>3300</v>
      </c>
      <c r="B8" s="94" t="s">
        <v>270</v>
      </c>
      <c r="C8" s="110" t="s">
        <v>280</v>
      </c>
      <c r="E8" s="88"/>
      <c r="F8" s="88"/>
      <c r="G8" s="88"/>
      <c r="H8" s="90">
        <f t="shared" si="0"/>
        <v>0</v>
      </c>
      <c r="J8" s="183">
        <f t="shared" ref="J8:J63" si="7">$J$6</f>
        <v>0</v>
      </c>
      <c r="K8" s="184">
        <f t="shared" si="4"/>
        <v>0</v>
      </c>
      <c r="M8" s="284"/>
      <c r="N8" s="285"/>
      <c r="O8" s="179">
        <f t="shared" si="1"/>
        <v>0</v>
      </c>
      <c r="P8" s="11"/>
      <c r="Q8" s="11" t="str">
        <f t="shared" si="5"/>
        <v>N</v>
      </c>
      <c r="R8" s="286">
        <v>0</v>
      </c>
      <c r="S8" s="179">
        <f t="shared" si="2"/>
        <v>0</v>
      </c>
      <c r="T8" s="290"/>
      <c r="U8" s="215">
        <f t="shared" si="3"/>
        <v>0</v>
      </c>
      <c r="V8" s="291">
        <f>H8*U8</f>
        <v>0</v>
      </c>
      <c r="W8" s="288"/>
    </row>
    <row r="9" spans="1:25" x14ac:dyDescent="0.35">
      <c r="A9">
        <v>3401</v>
      </c>
      <c r="B9" s="74" t="s">
        <v>47</v>
      </c>
      <c r="C9" s="110" t="s">
        <v>280</v>
      </c>
      <c r="E9" s="88"/>
      <c r="F9" s="88"/>
      <c r="G9" s="88"/>
      <c r="H9" s="90">
        <f t="shared" si="0"/>
        <v>0</v>
      </c>
      <c r="J9" s="183">
        <f t="shared" si="7"/>
        <v>0</v>
      </c>
      <c r="K9" s="184">
        <f t="shared" si="4"/>
        <v>0</v>
      </c>
      <c r="M9" s="284"/>
      <c r="N9" s="285"/>
      <c r="O9" s="179">
        <f t="shared" si="1"/>
        <v>0</v>
      </c>
      <c r="P9" s="11"/>
      <c r="Q9" s="11" t="str">
        <f t="shared" si="5"/>
        <v>N</v>
      </c>
      <c r="R9" s="286">
        <v>0</v>
      </c>
      <c r="S9" s="179">
        <f t="shared" si="2"/>
        <v>0</v>
      </c>
      <c r="T9" s="290"/>
      <c r="U9" s="215">
        <f t="shared" si="3"/>
        <v>0</v>
      </c>
      <c r="V9" s="291">
        <f t="shared" si="6"/>
        <v>0</v>
      </c>
      <c r="W9" s="288"/>
    </row>
    <row r="10" spans="1:25" x14ac:dyDescent="0.35">
      <c r="A10">
        <v>2003</v>
      </c>
      <c r="B10" s="94" t="s">
        <v>49</v>
      </c>
      <c r="C10" s="110" t="s">
        <v>280</v>
      </c>
      <c r="E10" s="88"/>
      <c r="F10" s="88"/>
      <c r="G10" s="88"/>
      <c r="H10" s="90">
        <f t="shared" si="0"/>
        <v>0</v>
      </c>
      <c r="J10" s="183">
        <f t="shared" si="7"/>
        <v>0</v>
      </c>
      <c r="K10" s="184">
        <f t="shared" si="4"/>
        <v>0</v>
      </c>
      <c r="M10" s="284"/>
      <c r="N10" s="285"/>
      <c r="O10" s="179">
        <f t="shared" si="1"/>
        <v>0</v>
      </c>
      <c r="P10" s="11"/>
      <c r="Q10" s="11" t="str">
        <f t="shared" si="5"/>
        <v>N</v>
      </c>
      <c r="R10" s="286">
        <v>0</v>
      </c>
      <c r="S10" s="179">
        <f t="shared" si="2"/>
        <v>0</v>
      </c>
      <c r="T10" s="290"/>
      <c r="U10" s="215">
        <f t="shared" si="3"/>
        <v>0</v>
      </c>
      <c r="V10" s="291">
        <f t="shared" si="6"/>
        <v>0</v>
      </c>
      <c r="W10" s="288"/>
    </row>
    <row r="11" spans="1:25" x14ac:dyDescent="0.35">
      <c r="A11">
        <v>2002</v>
      </c>
      <c r="B11" s="94" t="s">
        <v>50</v>
      </c>
      <c r="C11" s="110" t="s">
        <v>280</v>
      </c>
      <c r="E11" s="88"/>
      <c r="F11" s="88"/>
      <c r="G11" s="88"/>
      <c r="H11" s="90">
        <f t="shared" si="0"/>
        <v>0</v>
      </c>
      <c r="J11" s="183">
        <f t="shared" si="7"/>
        <v>0</v>
      </c>
      <c r="K11" s="184">
        <f t="shared" si="4"/>
        <v>0</v>
      </c>
      <c r="M11" s="284"/>
      <c r="N11" s="285"/>
      <c r="O11" s="179">
        <f t="shared" si="1"/>
        <v>0</v>
      </c>
      <c r="P11" s="11"/>
      <c r="Q11" s="11" t="str">
        <f t="shared" si="5"/>
        <v>N</v>
      </c>
      <c r="R11" s="286">
        <v>0</v>
      </c>
      <c r="S11" s="179">
        <f t="shared" si="2"/>
        <v>0</v>
      </c>
      <c r="T11" s="290"/>
      <c r="U11" s="215">
        <f t="shared" si="3"/>
        <v>0</v>
      </c>
      <c r="V11" s="291">
        <f t="shared" si="6"/>
        <v>0</v>
      </c>
      <c r="W11" s="288"/>
    </row>
    <row r="12" spans="1:25" x14ac:dyDescent="0.35">
      <c r="A12">
        <v>5206</v>
      </c>
      <c r="B12" s="94" t="s">
        <v>54</v>
      </c>
      <c r="C12" s="110" t="s">
        <v>280</v>
      </c>
      <c r="E12" s="88"/>
      <c r="F12" s="88"/>
      <c r="G12" s="88"/>
      <c r="H12" s="90">
        <f t="shared" si="0"/>
        <v>0</v>
      </c>
      <c r="J12" s="183">
        <f t="shared" si="7"/>
        <v>0</v>
      </c>
      <c r="K12" s="184">
        <f t="shared" si="4"/>
        <v>0</v>
      </c>
      <c r="M12" s="284"/>
      <c r="N12" s="285"/>
      <c r="O12" s="179">
        <f t="shared" si="1"/>
        <v>0</v>
      </c>
      <c r="P12" s="11"/>
      <c r="Q12" s="11" t="str">
        <f t="shared" si="5"/>
        <v>N</v>
      </c>
      <c r="R12" s="286">
        <v>0</v>
      </c>
      <c r="S12" s="179">
        <f t="shared" si="2"/>
        <v>0</v>
      </c>
      <c r="T12" s="290"/>
      <c r="U12" s="215">
        <f t="shared" si="3"/>
        <v>0</v>
      </c>
      <c r="V12" s="291">
        <f t="shared" si="6"/>
        <v>0</v>
      </c>
      <c r="W12" s="288"/>
    </row>
    <row r="13" spans="1:25" x14ac:dyDescent="0.35">
      <c r="A13">
        <v>2084</v>
      </c>
      <c r="B13" s="94" t="s">
        <v>56</v>
      </c>
      <c r="C13" s="110" t="s">
        <v>280</v>
      </c>
      <c r="E13" s="88"/>
      <c r="F13" s="88"/>
      <c r="G13" s="88"/>
      <c r="H13" s="90">
        <f t="shared" si="0"/>
        <v>0</v>
      </c>
      <c r="J13" s="183">
        <f t="shared" si="7"/>
        <v>0</v>
      </c>
      <c r="K13" s="184">
        <f t="shared" si="4"/>
        <v>0</v>
      </c>
      <c r="M13" s="284"/>
      <c r="N13" s="285"/>
      <c r="O13" s="179">
        <f t="shared" si="1"/>
        <v>0</v>
      </c>
      <c r="P13" s="11"/>
      <c r="Q13" s="11" t="str">
        <f t="shared" si="5"/>
        <v>N</v>
      </c>
      <c r="R13" s="286">
        <v>0</v>
      </c>
      <c r="S13" s="179">
        <f t="shared" si="2"/>
        <v>0</v>
      </c>
      <c r="T13" s="290"/>
      <c r="U13" s="215">
        <f t="shared" si="3"/>
        <v>0</v>
      </c>
      <c r="V13" s="291">
        <f t="shared" si="6"/>
        <v>0</v>
      </c>
      <c r="W13" s="288"/>
    </row>
    <row r="14" spans="1:25" x14ac:dyDescent="0.35">
      <c r="A14">
        <v>2010</v>
      </c>
      <c r="B14" s="94" t="s">
        <v>58</v>
      </c>
      <c r="C14" s="110" t="s">
        <v>280</v>
      </c>
      <c r="E14" s="88"/>
      <c r="F14" s="88"/>
      <c r="G14" s="88"/>
      <c r="H14" s="90">
        <f t="shared" si="0"/>
        <v>0</v>
      </c>
      <c r="J14" s="183">
        <f t="shared" si="7"/>
        <v>0</v>
      </c>
      <c r="K14" s="184">
        <f t="shared" si="4"/>
        <v>0</v>
      </c>
      <c r="M14" s="284"/>
      <c r="N14" s="285"/>
      <c r="O14" s="179">
        <f t="shared" si="1"/>
        <v>0</v>
      </c>
      <c r="P14" s="11"/>
      <c r="Q14" s="11" t="str">
        <f t="shared" si="5"/>
        <v>N</v>
      </c>
      <c r="R14" s="286">
        <v>0</v>
      </c>
      <c r="S14" s="179">
        <f t="shared" si="2"/>
        <v>0</v>
      </c>
      <c r="T14" s="290"/>
      <c r="U14" s="215">
        <f t="shared" si="3"/>
        <v>0</v>
      </c>
      <c r="V14" s="291">
        <f t="shared" si="6"/>
        <v>0</v>
      </c>
      <c r="W14" s="288"/>
    </row>
    <row r="15" spans="1:25" x14ac:dyDescent="0.35">
      <c r="A15">
        <v>2012</v>
      </c>
      <c r="B15" s="94" t="s">
        <v>60</v>
      </c>
      <c r="C15" s="110" t="s">
        <v>280</v>
      </c>
      <c r="E15" s="88"/>
      <c r="F15" s="88"/>
      <c r="G15" s="88"/>
      <c r="H15" s="90">
        <f t="shared" si="0"/>
        <v>0</v>
      </c>
      <c r="J15" s="183">
        <f t="shared" si="7"/>
        <v>0</v>
      </c>
      <c r="K15" s="184">
        <f t="shared" si="4"/>
        <v>0</v>
      </c>
      <c r="M15" s="284"/>
      <c r="N15" s="285"/>
      <c r="O15" s="179">
        <f t="shared" si="1"/>
        <v>0</v>
      </c>
      <c r="P15" s="11"/>
      <c r="Q15" s="11" t="str">
        <f t="shared" si="5"/>
        <v>N</v>
      </c>
      <c r="R15" s="286">
        <v>0</v>
      </c>
      <c r="S15" s="179">
        <f t="shared" si="2"/>
        <v>0</v>
      </c>
      <c r="T15" s="290"/>
      <c r="U15" s="215">
        <f t="shared" si="3"/>
        <v>0</v>
      </c>
      <c r="V15" s="291">
        <f t="shared" si="6"/>
        <v>0</v>
      </c>
      <c r="W15" s="288"/>
    </row>
    <row r="16" spans="1:25" x14ac:dyDescent="0.35">
      <c r="A16">
        <v>3410</v>
      </c>
      <c r="B16" s="94" t="s">
        <v>64</v>
      </c>
      <c r="C16" s="110" t="s">
        <v>280</v>
      </c>
      <c r="E16" s="88"/>
      <c r="F16" s="88"/>
      <c r="G16" s="88"/>
      <c r="H16" s="90">
        <f t="shared" si="0"/>
        <v>0</v>
      </c>
      <c r="J16" s="183">
        <f t="shared" si="7"/>
        <v>0</v>
      </c>
      <c r="K16" s="184">
        <f t="shared" si="4"/>
        <v>0</v>
      </c>
      <c r="M16" s="284"/>
      <c r="N16" s="285"/>
      <c r="O16" s="179">
        <f t="shared" si="1"/>
        <v>0</v>
      </c>
      <c r="P16" s="11"/>
      <c r="Q16" s="11" t="str">
        <f t="shared" si="5"/>
        <v>N</v>
      </c>
      <c r="R16" s="286">
        <v>0</v>
      </c>
      <c r="S16" s="179">
        <f t="shared" si="2"/>
        <v>0</v>
      </c>
      <c r="T16" s="290"/>
      <c r="U16" s="215">
        <f t="shared" si="3"/>
        <v>0</v>
      </c>
      <c r="V16" s="291">
        <f t="shared" si="6"/>
        <v>0</v>
      </c>
      <c r="W16" s="288"/>
    </row>
    <row r="17" spans="1:23" x14ac:dyDescent="0.35">
      <c r="A17">
        <v>2078</v>
      </c>
      <c r="B17" s="94" t="s">
        <v>66</v>
      </c>
      <c r="C17" s="110" t="s">
        <v>280</v>
      </c>
      <c r="E17" s="88"/>
      <c r="F17" s="88"/>
      <c r="G17" s="88"/>
      <c r="H17" s="90">
        <f t="shared" si="0"/>
        <v>0</v>
      </c>
      <c r="J17" s="183">
        <f t="shared" si="7"/>
        <v>0</v>
      </c>
      <c r="K17" s="184">
        <f t="shared" si="4"/>
        <v>0</v>
      </c>
      <c r="M17" s="284"/>
      <c r="N17" s="285"/>
      <c r="O17" s="179">
        <f t="shared" si="1"/>
        <v>0</v>
      </c>
      <c r="P17" s="11"/>
      <c r="Q17" s="11" t="str">
        <f t="shared" si="5"/>
        <v>N</v>
      </c>
      <c r="R17" s="286">
        <v>0</v>
      </c>
      <c r="S17" s="179">
        <f t="shared" si="2"/>
        <v>0</v>
      </c>
      <c r="T17" s="290"/>
      <c r="U17" s="215">
        <f t="shared" si="3"/>
        <v>0</v>
      </c>
      <c r="V17" s="291">
        <f t="shared" si="6"/>
        <v>0</v>
      </c>
      <c r="W17" s="288"/>
    </row>
    <row r="18" spans="1:23" x14ac:dyDescent="0.35">
      <c r="A18">
        <v>2016</v>
      </c>
      <c r="B18" s="94" t="s">
        <v>70</v>
      </c>
      <c r="C18" s="110" t="s">
        <v>280</v>
      </c>
      <c r="E18" s="88"/>
      <c r="F18" s="88"/>
      <c r="G18" s="88"/>
      <c r="H18" s="90">
        <f t="shared" si="0"/>
        <v>0</v>
      </c>
      <c r="J18" s="183">
        <f t="shared" si="7"/>
        <v>0</v>
      </c>
      <c r="K18" s="184">
        <f t="shared" si="4"/>
        <v>0</v>
      </c>
      <c r="M18" s="284"/>
      <c r="N18" s="285"/>
      <c r="O18" s="179">
        <f t="shared" si="1"/>
        <v>0</v>
      </c>
      <c r="P18" s="11"/>
      <c r="Q18" s="11" t="str">
        <f t="shared" si="5"/>
        <v>N</v>
      </c>
      <c r="R18" s="286">
        <v>0</v>
      </c>
      <c r="S18" s="179">
        <f t="shared" si="2"/>
        <v>0</v>
      </c>
      <c r="T18" s="290"/>
      <c r="U18" s="215">
        <f t="shared" si="3"/>
        <v>0</v>
      </c>
      <c r="V18" s="291">
        <f t="shared" si="6"/>
        <v>0</v>
      </c>
      <c r="W18" s="288"/>
    </row>
    <row r="19" spans="1:23" x14ac:dyDescent="0.35">
      <c r="A19">
        <v>3307</v>
      </c>
      <c r="B19" s="94" t="s">
        <v>72</v>
      </c>
      <c r="C19" s="110" t="s">
        <v>280</v>
      </c>
      <c r="E19" s="88"/>
      <c r="F19" s="88"/>
      <c r="G19" s="88"/>
      <c r="H19" s="90">
        <f t="shared" si="0"/>
        <v>0</v>
      </c>
      <c r="J19" s="183">
        <f t="shared" si="7"/>
        <v>0</v>
      </c>
      <c r="K19" s="184">
        <f t="shared" si="4"/>
        <v>0</v>
      </c>
      <c r="M19" s="284"/>
      <c r="N19" s="285"/>
      <c r="O19" s="179">
        <f t="shared" si="1"/>
        <v>0</v>
      </c>
      <c r="P19" s="11"/>
      <c r="Q19" s="11" t="str">
        <f t="shared" si="5"/>
        <v>N</v>
      </c>
      <c r="R19" s="286">
        <v>0</v>
      </c>
      <c r="S19" s="179">
        <f t="shared" si="2"/>
        <v>0</v>
      </c>
      <c r="T19" s="290"/>
      <c r="U19" s="215">
        <f t="shared" si="3"/>
        <v>0</v>
      </c>
      <c r="V19" s="291">
        <f t="shared" si="6"/>
        <v>0</v>
      </c>
      <c r="W19" s="288"/>
    </row>
    <row r="20" spans="1:23" x14ac:dyDescent="0.35">
      <c r="A20">
        <v>2019</v>
      </c>
      <c r="B20" s="94" t="s">
        <v>74</v>
      </c>
      <c r="C20" s="110" t="s">
        <v>280</v>
      </c>
      <c r="E20" s="88"/>
      <c r="F20" s="88"/>
      <c r="G20" s="88"/>
      <c r="H20" s="90">
        <f t="shared" si="0"/>
        <v>0</v>
      </c>
      <c r="J20" s="183">
        <f t="shared" si="7"/>
        <v>0</v>
      </c>
      <c r="K20" s="184">
        <f t="shared" si="4"/>
        <v>0</v>
      </c>
      <c r="M20" s="284"/>
      <c r="N20" s="285"/>
      <c r="O20" s="179">
        <f t="shared" si="1"/>
        <v>0</v>
      </c>
      <c r="P20" s="11"/>
      <c r="Q20" s="11" t="str">
        <f t="shared" si="5"/>
        <v>N</v>
      </c>
      <c r="R20" s="286">
        <v>0</v>
      </c>
      <c r="S20" s="179">
        <f t="shared" si="2"/>
        <v>0</v>
      </c>
      <c r="T20" s="290"/>
      <c r="U20" s="215">
        <f t="shared" si="3"/>
        <v>0</v>
      </c>
      <c r="V20" s="291">
        <f t="shared" si="6"/>
        <v>0</v>
      </c>
      <c r="W20" s="288"/>
    </row>
    <row r="21" spans="1:23" x14ac:dyDescent="0.35">
      <c r="A21">
        <v>2076</v>
      </c>
      <c r="B21" s="94" t="s">
        <v>78</v>
      </c>
      <c r="C21" s="110" t="s">
        <v>280</v>
      </c>
      <c r="E21" s="88"/>
      <c r="F21" s="88"/>
      <c r="G21" s="88"/>
      <c r="H21" s="90">
        <f t="shared" si="0"/>
        <v>0</v>
      </c>
      <c r="J21" s="183">
        <f t="shared" si="7"/>
        <v>0</v>
      </c>
      <c r="K21" s="184">
        <f t="shared" si="4"/>
        <v>0</v>
      </c>
      <c r="M21" s="284"/>
      <c r="N21" s="285"/>
      <c r="O21" s="179">
        <f t="shared" si="1"/>
        <v>0</v>
      </c>
      <c r="P21" s="11"/>
      <c r="Q21" s="11" t="str">
        <f t="shared" si="5"/>
        <v>N</v>
      </c>
      <c r="R21" s="286">
        <v>0</v>
      </c>
      <c r="S21" s="179">
        <f t="shared" si="2"/>
        <v>0</v>
      </c>
      <c r="T21" s="290"/>
      <c r="U21" s="215">
        <f t="shared" si="3"/>
        <v>0</v>
      </c>
      <c r="V21" s="291">
        <f t="shared" si="6"/>
        <v>0</v>
      </c>
      <c r="W21" s="288"/>
    </row>
    <row r="22" spans="1:23" x14ac:dyDescent="0.35">
      <c r="A22">
        <v>2020</v>
      </c>
      <c r="B22" s="74" t="s">
        <v>80</v>
      </c>
      <c r="C22" s="110" t="s">
        <v>280</v>
      </c>
      <c r="E22" s="88"/>
      <c r="F22" s="88"/>
      <c r="G22" s="88"/>
      <c r="H22" s="90">
        <f t="shared" si="0"/>
        <v>0</v>
      </c>
      <c r="J22" s="183">
        <f t="shared" si="7"/>
        <v>0</v>
      </c>
      <c r="K22" s="184">
        <f t="shared" si="4"/>
        <v>0</v>
      </c>
      <c r="M22" s="284"/>
      <c r="N22" s="285"/>
      <c r="O22" s="179">
        <f t="shared" si="1"/>
        <v>0</v>
      </c>
      <c r="P22" s="11"/>
      <c r="Q22" s="11" t="str">
        <f t="shared" si="5"/>
        <v>N</v>
      </c>
      <c r="R22" s="286">
        <v>0</v>
      </c>
      <c r="S22" s="179">
        <f t="shared" si="2"/>
        <v>0</v>
      </c>
      <c r="T22" s="290"/>
      <c r="U22" s="215">
        <f t="shared" si="3"/>
        <v>0</v>
      </c>
      <c r="V22" s="291">
        <f t="shared" si="6"/>
        <v>0</v>
      </c>
      <c r="W22" s="288"/>
    </row>
    <row r="23" spans="1:23" x14ac:dyDescent="0.35">
      <c r="A23">
        <v>5203</v>
      </c>
      <c r="B23" s="94" t="s">
        <v>82</v>
      </c>
      <c r="C23" s="110" t="s">
        <v>280</v>
      </c>
      <c r="E23" s="88"/>
      <c r="F23" s="88"/>
      <c r="G23" s="88"/>
      <c r="H23" s="90">
        <f t="shared" si="0"/>
        <v>0</v>
      </c>
      <c r="J23" s="183">
        <f t="shared" si="7"/>
        <v>0</v>
      </c>
      <c r="K23" s="184">
        <f t="shared" si="4"/>
        <v>0</v>
      </c>
      <c r="M23" s="284"/>
      <c r="N23" s="285"/>
      <c r="O23" s="179">
        <f t="shared" si="1"/>
        <v>0</v>
      </c>
      <c r="P23" s="11"/>
      <c r="Q23" s="11" t="str">
        <f t="shared" si="5"/>
        <v>N</v>
      </c>
      <c r="R23" s="286">
        <v>0</v>
      </c>
      <c r="S23" s="179">
        <f t="shared" si="2"/>
        <v>0</v>
      </c>
      <c r="T23" s="290"/>
      <c r="U23" s="215">
        <f t="shared" si="3"/>
        <v>0</v>
      </c>
      <c r="V23" s="291">
        <f t="shared" si="6"/>
        <v>0</v>
      </c>
      <c r="W23" s="288"/>
    </row>
    <row r="24" spans="1:23" x14ac:dyDescent="0.35">
      <c r="A24">
        <v>4654</v>
      </c>
      <c r="B24" s="74" t="s">
        <v>87</v>
      </c>
      <c r="C24" s="110" t="s">
        <v>280</v>
      </c>
      <c r="E24" s="88"/>
      <c r="F24" s="88"/>
      <c r="G24" s="88"/>
      <c r="H24" s="90">
        <f t="shared" ref="H24" si="8">SUM(E24:G24)</f>
        <v>0</v>
      </c>
      <c r="J24" s="183">
        <f t="shared" si="7"/>
        <v>0</v>
      </c>
      <c r="K24" s="184">
        <f t="shared" ref="K24" si="9">H24*J24</f>
        <v>0</v>
      </c>
      <c r="M24" s="284"/>
      <c r="N24" s="285"/>
      <c r="O24" s="179">
        <f t="shared" ref="O24" si="10">H24*N24</f>
        <v>0</v>
      </c>
      <c r="P24" s="11"/>
      <c r="Q24" s="11" t="str">
        <f t="shared" ref="Q24" si="11">IF(M24&gt;0.25,"Y","N")</f>
        <v>N</v>
      </c>
      <c r="R24" s="286">
        <v>0</v>
      </c>
      <c r="S24" s="179">
        <f t="shared" ref="S24" si="12">H24*R24</f>
        <v>0</v>
      </c>
      <c r="T24" s="290"/>
      <c r="U24" s="215">
        <f t="shared" ref="U24" si="13">J24+N24+R24</f>
        <v>0</v>
      </c>
      <c r="V24" s="291">
        <f t="shared" ref="V24" si="14">H24*U24</f>
        <v>0</v>
      </c>
      <c r="W24" s="288"/>
    </row>
    <row r="25" spans="1:23" x14ac:dyDescent="0.35">
      <c r="A25">
        <v>2024</v>
      </c>
      <c r="B25" s="94" t="s">
        <v>89</v>
      </c>
      <c r="C25" s="110" t="s">
        <v>280</v>
      </c>
      <c r="E25" s="88"/>
      <c r="F25" s="88"/>
      <c r="G25" s="88"/>
      <c r="H25" s="90">
        <f t="shared" si="0"/>
        <v>0</v>
      </c>
      <c r="J25" s="183">
        <f t="shared" si="7"/>
        <v>0</v>
      </c>
      <c r="K25" s="184">
        <f t="shared" si="4"/>
        <v>0</v>
      </c>
      <c r="M25" s="284"/>
      <c r="N25" s="285"/>
      <c r="O25" s="179">
        <f t="shared" si="1"/>
        <v>0</v>
      </c>
      <c r="P25" s="11"/>
      <c r="Q25" s="11" t="str">
        <f t="shared" si="5"/>
        <v>N</v>
      </c>
      <c r="R25" s="286">
        <v>0</v>
      </c>
      <c r="S25" s="179">
        <f t="shared" si="2"/>
        <v>0</v>
      </c>
      <c r="T25" s="290"/>
      <c r="U25" s="215">
        <f t="shared" si="3"/>
        <v>0</v>
      </c>
      <c r="V25" s="291">
        <f t="shared" si="6"/>
        <v>0</v>
      </c>
      <c r="W25" s="288"/>
    </row>
    <row r="26" spans="1:23" x14ac:dyDescent="0.35">
      <c r="A26">
        <v>2025</v>
      </c>
      <c r="B26" s="94" t="s">
        <v>94</v>
      </c>
      <c r="C26" s="110" t="s">
        <v>280</v>
      </c>
      <c r="E26" s="88"/>
      <c r="F26" s="88"/>
      <c r="G26" s="88"/>
      <c r="H26" s="90">
        <f t="shared" si="0"/>
        <v>0</v>
      </c>
      <c r="J26" s="183">
        <f t="shared" si="7"/>
        <v>0</v>
      </c>
      <c r="K26" s="184">
        <f t="shared" si="4"/>
        <v>0</v>
      </c>
      <c r="M26" s="284"/>
      <c r="N26" s="285"/>
      <c r="O26" s="179">
        <f t="shared" si="1"/>
        <v>0</v>
      </c>
      <c r="P26" s="11"/>
      <c r="Q26" s="11" t="str">
        <f t="shared" si="5"/>
        <v>N</v>
      </c>
      <c r="R26" s="286">
        <v>0</v>
      </c>
      <c r="S26" s="179">
        <f t="shared" si="2"/>
        <v>0</v>
      </c>
      <c r="T26" s="290"/>
      <c r="U26" s="215">
        <f t="shared" si="3"/>
        <v>0</v>
      </c>
      <c r="V26" s="291">
        <f t="shared" si="6"/>
        <v>0</v>
      </c>
      <c r="W26" s="288"/>
    </row>
    <row r="27" spans="1:23" x14ac:dyDescent="0.35">
      <c r="A27">
        <v>2026</v>
      </c>
      <c r="B27" s="94" t="s">
        <v>96</v>
      </c>
      <c r="C27" s="110" t="s">
        <v>280</v>
      </c>
      <c r="E27" s="88"/>
      <c r="F27" s="88"/>
      <c r="G27" s="88"/>
      <c r="H27" s="90">
        <f t="shared" si="0"/>
        <v>0</v>
      </c>
      <c r="J27" s="183">
        <f t="shared" si="7"/>
        <v>0</v>
      </c>
      <c r="K27" s="184">
        <f t="shared" si="4"/>
        <v>0</v>
      </c>
      <c r="M27" s="284"/>
      <c r="N27" s="285"/>
      <c r="O27" s="179">
        <f t="shared" si="1"/>
        <v>0</v>
      </c>
      <c r="P27" s="11"/>
      <c r="Q27" s="11" t="str">
        <f t="shared" si="5"/>
        <v>N</v>
      </c>
      <c r="R27" s="286">
        <v>0</v>
      </c>
      <c r="S27" s="179">
        <f t="shared" si="2"/>
        <v>0</v>
      </c>
      <c r="T27" s="290"/>
      <c r="U27" s="215">
        <f t="shared" si="3"/>
        <v>0</v>
      </c>
      <c r="V27" s="291">
        <f t="shared" si="6"/>
        <v>0</v>
      </c>
      <c r="W27" s="288"/>
    </row>
    <row r="28" spans="1:23" x14ac:dyDescent="0.35">
      <c r="A28">
        <v>5211</v>
      </c>
      <c r="B28" s="94" t="s">
        <v>100</v>
      </c>
      <c r="C28" s="110" t="s">
        <v>280</v>
      </c>
      <c r="E28" s="88"/>
      <c r="F28" s="88"/>
      <c r="G28" s="88"/>
      <c r="H28" s="90">
        <f t="shared" si="0"/>
        <v>0</v>
      </c>
      <c r="J28" s="183">
        <f t="shared" si="7"/>
        <v>0</v>
      </c>
      <c r="K28" s="184">
        <f t="shared" si="4"/>
        <v>0</v>
      </c>
      <c r="M28" s="284"/>
      <c r="N28" s="285"/>
      <c r="O28" s="179">
        <f t="shared" si="1"/>
        <v>0</v>
      </c>
      <c r="P28" s="11"/>
      <c r="Q28" s="11" t="str">
        <f t="shared" si="5"/>
        <v>N</v>
      </c>
      <c r="R28" s="286">
        <v>0</v>
      </c>
      <c r="S28" s="179">
        <f t="shared" si="2"/>
        <v>0</v>
      </c>
      <c r="T28" s="290"/>
      <c r="U28" s="215">
        <f t="shared" si="3"/>
        <v>0</v>
      </c>
      <c r="V28" s="291">
        <f t="shared" si="6"/>
        <v>0</v>
      </c>
      <c r="W28" s="288"/>
    </row>
    <row r="29" spans="1:23" x14ac:dyDescent="0.35">
      <c r="A29">
        <v>2029</v>
      </c>
      <c r="B29" s="94" t="s">
        <v>104</v>
      </c>
      <c r="C29" s="110" t="s">
        <v>280</v>
      </c>
      <c r="E29" s="88"/>
      <c r="F29" s="88"/>
      <c r="G29" s="88"/>
      <c r="H29" s="90">
        <f t="shared" si="0"/>
        <v>0</v>
      </c>
      <c r="J29" s="183">
        <f t="shared" si="7"/>
        <v>0</v>
      </c>
      <c r="K29" s="184">
        <f t="shared" si="4"/>
        <v>0</v>
      </c>
      <c r="M29" s="284"/>
      <c r="N29" s="285"/>
      <c r="O29" s="179">
        <f t="shared" si="1"/>
        <v>0</v>
      </c>
      <c r="P29" s="11"/>
      <c r="Q29" s="11" t="str">
        <f t="shared" si="5"/>
        <v>N</v>
      </c>
      <c r="R29" s="286">
        <v>0</v>
      </c>
      <c r="S29" s="179">
        <f t="shared" si="2"/>
        <v>0</v>
      </c>
      <c r="T29" s="290"/>
      <c r="U29" s="215">
        <f t="shared" si="3"/>
        <v>0</v>
      </c>
      <c r="V29" s="291">
        <f t="shared" si="6"/>
        <v>0</v>
      </c>
      <c r="W29" s="288"/>
    </row>
    <row r="30" spans="1:23" x14ac:dyDescent="0.35">
      <c r="A30">
        <v>2061</v>
      </c>
      <c r="B30" s="94" t="s">
        <v>106</v>
      </c>
      <c r="C30" s="110" t="s">
        <v>280</v>
      </c>
      <c r="E30" s="88"/>
      <c r="F30" s="88"/>
      <c r="G30" s="88"/>
      <c r="H30" s="90">
        <f t="shared" si="0"/>
        <v>0</v>
      </c>
      <c r="J30" s="183">
        <f t="shared" si="7"/>
        <v>0</v>
      </c>
      <c r="K30" s="184">
        <f t="shared" si="4"/>
        <v>0</v>
      </c>
      <c r="M30" s="284"/>
      <c r="N30" s="285"/>
      <c r="O30" s="179">
        <f t="shared" si="1"/>
        <v>0</v>
      </c>
      <c r="P30" s="11"/>
      <c r="Q30" s="11" t="str">
        <f t="shared" ref="Q30:Q63" si="15">IF(M30&gt;0.25,"Y","N")</f>
        <v>N</v>
      </c>
      <c r="R30" s="286">
        <v>0</v>
      </c>
      <c r="S30" s="179">
        <f t="shared" si="2"/>
        <v>0</v>
      </c>
      <c r="T30" s="290"/>
      <c r="U30" s="215">
        <f t="shared" si="3"/>
        <v>0</v>
      </c>
      <c r="V30" s="291">
        <f t="shared" si="6"/>
        <v>0</v>
      </c>
      <c r="W30" s="288"/>
    </row>
    <row r="31" spans="1:23" x14ac:dyDescent="0.35">
      <c r="A31">
        <v>2021</v>
      </c>
      <c r="B31" s="94" t="s">
        <v>109</v>
      </c>
      <c r="C31" s="110" t="s">
        <v>280</v>
      </c>
      <c r="E31" s="88"/>
      <c r="F31" s="88"/>
      <c r="G31" s="88"/>
      <c r="H31" s="90">
        <f t="shared" si="0"/>
        <v>0</v>
      </c>
      <c r="J31" s="183">
        <f t="shared" si="7"/>
        <v>0</v>
      </c>
      <c r="K31" s="184">
        <f t="shared" si="4"/>
        <v>0</v>
      </c>
      <c r="M31" s="284"/>
      <c r="N31" s="285"/>
      <c r="O31" s="179">
        <f t="shared" si="1"/>
        <v>0</v>
      </c>
      <c r="P31" s="11"/>
      <c r="Q31" s="11" t="str">
        <f t="shared" si="15"/>
        <v>N</v>
      </c>
      <c r="R31" s="286">
        <v>0</v>
      </c>
      <c r="S31" s="179">
        <f t="shared" si="2"/>
        <v>0</v>
      </c>
      <c r="T31" s="290"/>
      <c r="U31" s="215">
        <f t="shared" si="3"/>
        <v>0</v>
      </c>
      <c r="V31" s="291">
        <f t="shared" si="6"/>
        <v>0</v>
      </c>
      <c r="W31" s="288"/>
    </row>
    <row r="32" spans="1:23" x14ac:dyDescent="0.35">
      <c r="A32">
        <v>2063</v>
      </c>
      <c r="B32" s="94" t="s">
        <v>111</v>
      </c>
      <c r="C32" s="110" t="s">
        <v>280</v>
      </c>
      <c r="E32" s="88"/>
      <c r="F32" s="88"/>
      <c r="G32" s="88"/>
      <c r="H32" s="90">
        <f t="shared" si="0"/>
        <v>0</v>
      </c>
      <c r="J32" s="183">
        <f t="shared" si="7"/>
        <v>0</v>
      </c>
      <c r="K32" s="184">
        <f t="shared" si="4"/>
        <v>0</v>
      </c>
      <c r="M32" s="284"/>
      <c r="N32" s="285"/>
      <c r="O32" s="179">
        <f t="shared" si="1"/>
        <v>0</v>
      </c>
      <c r="P32" s="11"/>
      <c r="Q32" s="11" t="str">
        <f t="shared" si="15"/>
        <v>N</v>
      </c>
      <c r="R32" s="286">
        <v>0</v>
      </c>
      <c r="S32" s="179">
        <f t="shared" si="2"/>
        <v>0</v>
      </c>
      <c r="T32" s="290"/>
      <c r="U32" s="215">
        <f t="shared" si="3"/>
        <v>0</v>
      </c>
      <c r="V32" s="291">
        <f t="shared" si="6"/>
        <v>0</v>
      </c>
      <c r="W32" s="288"/>
    </row>
    <row r="33" spans="1:23" x14ac:dyDescent="0.35">
      <c r="A33">
        <v>2081</v>
      </c>
      <c r="B33" s="94" t="s">
        <v>112</v>
      </c>
      <c r="C33" s="110" t="s">
        <v>280</v>
      </c>
      <c r="E33" s="88"/>
      <c r="F33" s="88"/>
      <c r="G33" s="88"/>
      <c r="H33" s="90">
        <f t="shared" si="0"/>
        <v>0</v>
      </c>
      <c r="J33" s="183">
        <f t="shared" si="7"/>
        <v>0</v>
      </c>
      <c r="K33" s="184">
        <f t="shared" si="4"/>
        <v>0</v>
      </c>
      <c r="M33" s="284"/>
      <c r="N33" s="285"/>
      <c r="O33" s="179">
        <f t="shared" si="1"/>
        <v>0</v>
      </c>
      <c r="P33" s="11"/>
      <c r="Q33" s="11" t="str">
        <f t="shared" si="15"/>
        <v>N</v>
      </c>
      <c r="R33" s="286">
        <v>0</v>
      </c>
      <c r="S33" s="179">
        <f t="shared" si="2"/>
        <v>0</v>
      </c>
      <c r="T33" s="290"/>
      <c r="U33" s="215">
        <f t="shared" si="3"/>
        <v>0</v>
      </c>
      <c r="V33" s="291">
        <f t="shared" si="6"/>
        <v>0</v>
      </c>
      <c r="W33" s="288"/>
    </row>
    <row r="34" spans="1:23" x14ac:dyDescent="0.35">
      <c r="A34">
        <v>5204</v>
      </c>
      <c r="B34" s="94" t="s">
        <v>114</v>
      </c>
      <c r="C34" s="110" t="s">
        <v>280</v>
      </c>
      <c r="E34" s="88"/>
      <c r="F34" s="88"/>
      <c r="G34" s="88"/>
      <c r="H34" s="90">
        <f t="shared" si="0"/>
        <v>0</v>
      </c>
      <c r="J34" s="183">
        <f t="shared" si="7"/>
        <v>0</v>
      </c>
      <c r="K34" s="184">
        <f t="shared" si="4"/>
        <v>0</v>
      </c>
      <c r="M34" s="284"/>
      <c r="N34" s="285"/>
      <c r="O34" s="179">
        <f t="shared" si="1"/>
        <v>0</v>
      </c>
      <c r="P34" s="11"/>
      <c r="Q34" s="11" t="str">
        <f t="shared" si="15"/>
        <v>N</v>
      </c>
      <c r="R34" s="286">
        <v>0</v>
      </c>
      <c r="S34" s="179">
        <f t="shared" si="2"/>
        <v>0</v>
      </c>
      <c r="T34" s="290"/>
      <c r="U34" s="215">
        <f t="shared" si="3"/>
        <v>0</v>
      </c>
      <c r="V34" s="291">
        <f t="shared" si="6"/>
        <v>0</v>
      </c>
      <c r="W34" s="288"/>
    </row>
    <row r="35" spans="1:23" x14ac:dyDescent="0.35">
      <c r="A35">
        <v>3302</v>
      </c>
      <c r="B35" s="94" t="s">
        <v>118</v>
      </c>
      <c r="C35" s="110" t="s">
        <v>280</v>
      </c>
      <c r="E35" s="88"/>
      <c r="F35" s="88"/>
      <c r="G35" s="88"/>
      <c r="H35" s="90">
        <f t="shared" si="0"/>
        <v>0</v>
      </c>
      <c r="J35" s="183">
        <f t="shared" si="7"/>
        <v>0</v>
      </c>
      <c r="K35" s="184">
        <f t="shared" si="4"/>
        <v>0</v>
      </c>
      <c r="M35" s="284"/>
      <c r="N35" s="285"/>
      <c r="O35" s="179">
        <f t="shared" si="1"/>
        <v>0</v>
      </c>
      <c r="P35" s="11"/>
      <c r="Q35" s="11" t="str">
        <f t="shared" si="15"/>
        <v>N</v>
      </c>
      <c r="R35" s="286">
        <v>0</v>
      </c>
      <c r="S35" s="179">
        <f t="shared" si="2"/>
        <v>0</v>
      </c>
      <c r="T35" s="290"/>
      <c r="U35" s="215">
        <f t="shared" si="3"/>
        <v>0</v>
      </c>
      <c r="V35" s="291">
        <f t="shared" si="6"/>
        <v>0</v>
      </c>
      <c r="W35" s="288"/>
    </row>
    <row r="36" spans="1:23" x14ac:dyDescent="0.35">
      <c r="A36">
        <v>2027</v>
      </c>
      <c r="B36" s="94" t="s">
        <v>120</v>
      </c>
      <c r="C36" s="110" t="s">
        <v>280</v>
      </c>
      <c r="E36" s="88"/>
      <c r="F36" s="88"/>
      <c r="G36" s="88"/>
      <c r="H36" s="90">
        <f t="shared" si="0"/>
        <v>0</v>
      </c>
      <c r="J36" s="183">
        <f t="shared" si="7"/>
        <v>0</v>
      </c>
      <c r="K36" s="184">
        <f t="shared" si="4"/>
        <v>0</v>
      </c>
      <c r="M36" s="284"/>
      <c r="N36" s="285"/>
      <c r="O36" s="179">
        <f t="shared" si="1"/>
        <v>0</v>
      </c>
      <c r="P36" s="11"/>
      <c r="Q36" s="11" t="str">
        <f t="shared" si="15"/>
        <v>N</v>
      </c>
      <c r="R36" s="286">
        <v>0</v>
      </c>
      <c r="S36" s="179">
        <f t="shared" si="2"/>
        <v>0</v>
      </c>
      <c r="T36" s="290"/>
      <c r="U36" s="215">
        <f t="shared" si="3"/>
        <v>0</v>
      </c>
      <c r="V36" s="291">
        <f t="shared" si="6"/>
        <v>0</v>
      </c>
      <c r="W36" s="288"/>
    </row>
    <row r="37" spans="1:23" x14ac:dyDescent="0.35">
      <c r="A37">
        <v>2033</v>
      </c>
      <c r="B37" s="94" t="s">
        <v>122</v>
      </c>
      <c r="C37" s="110" t="s">
        <v>280</v>
      </c>
      <c r="E37" s="88"/>
      <c r="F37" s="88"/>
      <c r="G37" s="88"/>
      <c r="H37" s="90">
        <f t="shared" si="0"/>
        <v>0</v>
      </c>
      <c r="J37" s="183">
        <f t="shared" si="7"/>
        <v>0</v>
      </c>
      <c r="K37" s="184">
        <f t="shared" si="4"/>
        <v>0</v>
      </c>
      <c r="M37" s="284"/>
      <c r="N37" s="285"/>
      <c r="O37" s="179">
        <f t="shared" si="1"/>
        <v>0</v>
      </c>
      <c r="P37" s="11"/>
      <c r="Q37" s="11" t="str">
        <f t="shared" si="15"/>
        <v>N</v>
      </c>
      <c r="R37" s="286">
        <v>0</v>
      </c>
      <c r="S37" s="179">
        <f t="shared" si="2"/>
        <v>0</v>
      </c>
      <c r="T37" s="290"/>
      <c r="U37" s="215">
        <f t="shared" si="3"/>
        <v>0</v>
      </c>
      <c r="V37" s="291">
        <f t="shared" si="6"/>
        <v>0</v>
      </c>
      <c r="W37" s="288"/>
    </row>
    <row r="38" spans="1:23" x14ac:dyDescent="0.35">
      <c r="A38">
        <v>2028</v>
      </c>
      <c r="B38" s="94" t="s">
        <v>126</v>
      </c>
      <c r="C38" s="110" t="s">
        <v>280</v>
      </c>
      <c r="E38" s="88"/>
      <c r="F38" s="88"/>
      <c r="G38" s="88"/>
      <c r="H38" s="90">
        <f t="shared" si="0"/>
        <v>0</v>
      </c>
      <c r="J38" s="183">
        <f t="shared" si="7"/>
        <v>0</v>
      </c>
      <c r="K38" s="184">
        <f t="shared" si="4"/>
        <v>0</v>
      </c>
      <c r="M38" s="284"/>
      <c r="N38" s="285"/>
      <c r="O38" s="179">
        <f t="shared" si="1"/>
        <v>0</v>
      </c>
      <c r="P38" s="11"/>
      <c r="Q38" s="11" t="str">
        <f t="shared" si="15"/>
        <v>N</v>
      </c>
      <c r="R38" s="286">
        <v>0</v>
      </c>
      <c r="S38" s="179">
        <f t="shared" si="2"/>
        <v>0</v>
      </c>
      <c r="T38" s="290"/>
      <c r="U38" s="215">
        <f t="shared" si="3"/>
        <v>0</v>
      </c>
      <c r="V38" s="291">
        <f t="shared" si="6"/>
        <v>0</v>
      </c>
      <c r="W38" s="288"/>
    </row>
    <row r="39" spans="1:23" x14ac:dyDescent="0.35">
      <c r="A39">
        <v>2017</v>
      </c>
      <c r="B39" s="94" t="s">
        <v>127</v>
      </c>
      <c r="C39" s="110" t="s">
        <v>280</v>
      </c>
      <c r="E39" s="88"/>
      <c r="F39" s="88"/>
      <c r="G39" s="88"/>
      <c r="H39" s="90">
        <f t="shared" si="0"/>
        <v>0</v>
      </c>
      <c r="J39" s="183">
        <f t="shared" si="7"/>
        <v>0</v>
      </c>
      <c r="K39" s="184">
        <f t="shared" si="4"/>
        <v>0</v>
      </c>
      <c r="M39" s="284"/>
      <c r="N39" s="285"/>
      <c r="O39" s="179">
        <f t="shared" si="1"/>
        <v>0</v>
      </c>
      <c r="P39" s="11"/>
      <c r="Q39" s="11" t="str">
        <f t="shared" si="15"/>
        <v>N</v>
      </c>
      <c r="R39" s="286">
        <v>0</v>
      </c>
      <c r="S39" s="179">
        <f t="shared" si="2"/>
        <v>0</v>
      </c>
      <c r="T39" s="290"/>
      <c r="U39" s="215">
        <f t="shared" si="3"/>
        <v>0</v>
      </c>
      <c r="V39" s="291">
        <f t="shared" si="6"/>
        <v>0</v>
      </c>
      <c r="W39" s="288"/>
    </row>
    <row r="40" spans="1:23" x14ac:dyDescent="0.35">
      <c r="A40">
        <v>2037</v>
      </c>
      <c r="B40" s="94" t="s">
        <v>129</v>
      </c>
      <c r="C40" s="110" t="s">
        <v>280</v>
      </c>
      <c r="E40" s="88"/>
      <c r="F40" s="88"/>
      <c r="G40" s="88"/>
      <c r="H40" s="90">
        <f t="shared" si="0"/>
        <v>0</v>
      </c>
      <c r="J40" s="183">
        <f t="shared" si="7"/>
        <v>0</v>
      </c>
      <c r="K40" s="184">
        <f t="shared" si="4"/>
        <v>0</v>
      </c>
      <c r="M40" s="284"/>
      <c r="N40" s="285"/>
      <c r="O40" s="179">
        <f t="shared" si="1"/>
        <v>0</v>
      </c>
      <c r="P40" s="11"/>
      <c r="Q40" s="11" t="str">
        <f t="shared" si="15"/>
        <v>N</v>
      </c>
      <c r="R40" s="286">
        <v>0</v>
      </c>
      <c r="S40" s="179">
        <f t="shared" si="2"/>
        <v>0</v>
      </c>
      <c r="T40" s="290"/>
      <c r="U40" s="215">
        <f t="shared" si="3"/>
        <v>0</v>
      </c>
      <c r="V40" s="291">
        <f t="shared" si="6"/>
        <v>0</v>
      </c>
      <c r="W40" s="288"/>
    </row>
    <row r="41" spans="1:23" x14ac:dyDescent="0.35">
      <c r="A41">
        <v>2039</v>
      </c>
      <c r="B41" s="94" t="s">
        <v>135</v>
      </c>
      <c r="C41" s="110" t="s">
        <v>280</v>
      </c>
      <c r="E41" s="88"/>
      <c r="F41" s="88"/>
      <c r="G41" s="88"/>
      <c r="H41" s="90">
        <f t="shared" si="0"/>
        <v>0</v>
      </c>
      <c r="J41" s="183">
        <f t="shared" si="7"/>
        <v>0</v>
      </c>
      <c r="K41" s="184">
        <f t="shared" si="4"/>
        <v>0</v>
      </c>
      <c r="M41" s="284"/>
      <c r="N41" s="285"/>
      <c r="O41" s="179">
        <f t="shared" si="1"/>
        <v>0</v>
      </c>
      <c r="P41" s="11"/>
      <c r="Q41" s="11" t="str">
        <f t="shared" si="15"/>
        <v>N</v>
      </c>
      <c r="R41" s="286">
        <v>0</v>
      </c>
      <c r="S41" s="179">
        <f t="shared" si="2"/>
        <v>0</v>
      </c>
      <c r="T41" s="290"/>
      <c r="U41" s="215">
        <f t="shared" si="3"/>
        <v>0</v>
      </c>
      <c r="V41" s="291">
        <f t="shared" si="6"/>
        <v>0</v>
      </c>
      <c r="W41" s="288"/>
    </row>
    <row r="42" spans="1:23" x14ac:dyDescent="0.35">
      <c r="A42">
        <v>5200</v>
      </c>
      <c r="B42" s="94" t="s">
        <v>139</v>
      </c>
      <c r="C42" s="110" t="s">
        <v>280</v>
      </c>
      <c r="E42" s="88"/>
      <c r="F42" s="88"/>
      <c r="G42" s="88"/>
      <c r="H42" s="90">
        <f t="shared" si="0"/>
        <v>0</v>
      </c>
      <c r="J42" s="183">
        <f t="shared" si="7"/>
        <v>0</v>
      </c>
      <c r="K42" s="184">
        <f t="shared" si="4"/>
        <v>0</v>
      </c>
      <c r="M42" s="284"/>
      <c r="N42" s="285"/>
      <c r="O42" s="179">
        <f t="shared" si="1"/>
        <v>0</v>
      </c>
      <c r="P42" s="11"/>
      <c r="Q42" s="11" t="str">
        <f t="shared" si="15"/>
        <v>N</v>
      </c>
      <c r="R42" s="286">
        <v>0</v>
      </c>
      <c r="S42" s="179">
        <f t="shared" si="2"/>
        <v>0</v>
      </c>
      <c r="T42" s="290"/>
      <c r="U42" s="215">
        <f t="shared" si="3"/>
        <v>0</v>
      </c>
      <c r="V42" s="291">
        <f t="shared" si="6"/>
        <v>0</v>
      </c>
      <c r="W42" s="288"/>
    </row>
    <row r="43" spans="1:23" x14ac:dyDescent="0.35">
      <c r="A43">
        <v>2040</v>
      </c>
      <c r="B43" s="94" t="s">
        <v>271</v>
      </c>
      <c r="C43" s="110" t="s">
        <v>280</v>
      </c>
      <c r="E43" s="88"/>
      <c r="F43" s="88"/>
      <c r="G43" s="88"/>
      <c r="H43" s="90">
        <f t="shared" si="0"/>
        <v>0</v>
      </c>
      <c r="J43" s="183">
        <f t="shared" si="7"/>
        <v>0</v>
      </c>
      <c r="K43" s="184">
        <f t="shared" si="4"/>
        <v>0</v>
      </c>
      <c r="M43" s="284"/>
      <c r="N43" s="285"/>
      <c r="O43" s="179">
        <f t="shared" si="1"/>
        <v>0</v>
      </c>
      <c r="P43" s="11"/>
      <c r="Q43" s="11" t="str">
        <f t="shared" si="15"/>
        <v>N</v>
      </c>
      <c r="R43" s="286">
        <v>0</v>
      </c>
      <c r="S43" s="179">
        <f t="shared" si="2"/>
        <v>0</v>
      </c>
      <c r="T43" s="290"/>
      <c r="U43" s="215">
        <f t="shared" si="3"/>
        <v>0</v>
      </c>
      <c r="V43" s="291">
        <f t="shared" si="6"/>
        <v>0</v>
      </c>
      <c r="W43" s="288"/>
    </row>
    <row r="44" spans="1:23" x14ac:dyDescent="0.35">
      <c r="A44">
        <v>2064</v>
      </c>
      <c r="B44" s="94" t="s">
        <v>152</v>
      </c>
      <c r="C44" s="110" t="s">
        <v>280</v>
      </c>
      <c r="E44" s="88"/>
      <c r="F44" s="88"/>
      <c r="G44" s="88"/>
      <c r="H44" s="90">
        <f t="shared" si="0"/>
        <v>0</v>
      </c>
      <c r="J44" s="183">
        <f t="shared" si="7"/>
        <v>0</v>
      </c>
      <c r="K44" s="184">
        <f t="shared" si="4"/>
        <v>0</v>
      </c>
      <c r="M44" s="284"/>
      <c r="N44" s="285"/>
      <c r="O44" s="179">
        <f t="shared" si="1"/>
        <v>0</v>
      </c>
      <c r="P44" s="11"/>
      <c r="Q44" s="11" t="str">
        <f t="shared" si="15"/>
        <v>N</v>
      </c>
      <c r="R44" s="286">
        <v>0</v>
      </c>
      <c r="S44" s="179">
        <f t="shared" si="2"/>
        <v>0</v>
      </c>
      <c r="T44" s="290"/>
      <c r="U44" s="215">
        <f t="shared" si="3"/>
        <v>0</v>
      </c>
      <c r="V44" s="291">
        <f t="shared" si="6"/>
        <v>0</v>
      </c>
      <c r="W44" s="288"/>
    </row>
    <row r="45" spans="1:23" x14ac:dyDescent="0.35">
      <c r="A45">
        <v>2045</v>
      </c>
      <c r="B45" s="94" t="s">
        <v>157</v>
      </c>
      <c r="C45" s="110" t="s">
        <v>280</v>
      </c>
      <c r="E45" s="88"/>
      <c r="F45" s="88"/>
      <c r="G45" s="88"/>
      <c r="H45" s="90">
        <f t="shared" si="0"/>
        <v>0</v>
      </c>
      <c r="J45" s="183">
        <f t="shared" si="7"/>
        <v>0</v>
      </c>
      <c r="K45" s="184">
        <f t="shared" si="4"/>
        <v>0</v>
      </c>
      <c r="M45" s="284"/>
      <c r="N45" s="285"/>
      <c r="O45" s="179">
        <f t="shared" si="1"/>
        <v>0</v>
      </c>
      <c r="P45" s="11"/>
      <c r="Q45" s="11" t="str">
        <f t="shared" si="15"/>
        <v>N</v>
      </c>
      <c r="R45" s="286">
        <v>0</v>
      </c>
      <c r="S45" s="179">
        <f t="shared" si="2"/>
        <v>0</v>
      </c>
      <c r="T45" s="290"/>
      <c r="U45" s="215">
        <f t="shared" si="3"/>
        <v>0</v>
      </c>
      <c r="V45" s="291">
        <f t="shared" si="6"/>
        <v>0</v>
      </c>
      <c r="W45" s="288"/>
    </row>
    <row r="46" spans="1:23" x14ac:dyDescent="0.35">
      <c r="A46">
        <v>2080</v>
      </c>
      <c r="B46" s="94" t="s">
        <v>159</v>
      </c>
      <c r="C46" s="110" t="s">
        <v>280</v>
      </c>
      <c r="E46" s="88"/>
      <c r="F46" s="88"/>
      <c r="G46" s="88"/>
      <c r="H46" s="90">
        <f t="shared" si="0"/>
        <v>0</v>
      </c>
      <c r="J46" s="183">
        <f t="shared" si="7"/>
        <v>0</v>
      </c>
      <c r="K46" s="184">
        <f t="shared" si="4"/>
        <v>0</v>
      </c>
      <c r="M46" s="284"/>
      <c r="N46" s="285"/>
      <c r="O46" s="179">
        <f t="shared" si="1"/>
        <v>0</v>
      </c>
      <c r="P46" s="11"/>
      <c r="Q46" s="11" t="str">
        <f t="shared" si="15"/>
        <v>N</v>
      </c>
      <c r="R46" s="286">
        <v>0</v>
      </c>
      <c r="S46" s="179">
        <f t="shared" si="2"/>
        <v>0</v>
      </c>
      <c r="T46" s="290"/>
      <c r="U46" s="215">
        <f t="shared" si="3"/>
        <v>0</v>
      </c>
      <c r="V46" s="291">
        <f t="shared" si="6"/>
        <v>0</v>
      </c>
      <c r="W46" s="288"/>
    </row>
    <row r="47" spans="1:23" x14ac:dyDescent="0.35">
      <c r="A47">
        <v>2048</v>
      </c>
      <c r="B47" s="94" t="s">
        <v>164</v>
      </c>
      <c r="C47" s="110" t="s">
        <v>280</v>
      </c>
      <c r="E47" s="88"/>
      <c r="F47" s="88"/>
      <c r="G47" s="88"/>
      <c r="H47" s="90">
        <f t="shared" si="0"/>
        <v>0</v>
      </c>
      <c r="J47" s="183">
        <f t="shared" si="7"/>
        <v>0</v>
      </c>
      <c r="K47" s="184">
        <f t="shared" si="4"/>
        <v>0</v>
      </c>
      <c r="M47" s="284"/>
      <c r="N47" s="285"/>
      <c r="O47" s="179">
        <f t="shared" si="1"/>
        <v>0</v>
      </c>
      <c r="P47" s="11"/>
      <c r="Q47" s="11" t="str">
        <f t="shared" si="15"/>
        <v>N</v>
      </c>
      <c r="R47" s="286">
        <v>0</v>
      </c>
      <c r="S47" s="179">
        <f t="shared" si="2"/>
        <v>0</v>
      </c>
      <c r="T47" s="290"/>
      <c r="U47" s="215">
        <f t="shared" si="3"/>
        <v>0</v>
      </c>
      <c r="V47" s="291">
        <f t="shared" si="6"/>
        <v>0</v>
      </c>
      <c r="W47" s="288"/>
    </row>
    <row r="48" spans="1:23" x14ac:dyDescent="0.35">
      <c r="A48">
        <v>3405</v>
      </c>
      <c r="B48" s="94" t="s">
        <v>168</v>
      </c>
      <c r="C48" s="110" t="s">
        <v>280</v>
      </c>
      <c r="E48" s="88"/>
      <c r="F48" s="88"/>
      <c r="G48" s="88"/>
      <c r="H48" s="90">
        <f t="shared" si="0"/>
        <v>0</v>
      </c>
      <c r="J48" s="183">
        <f t="shared" si="7"/>
        <v>0</v>
      </c>
      <c r="K48" s="184">
        <f t="shared" si="4"/>
        <v>0</v>
      </c>
      <c r="M48" s="284"/>
      <c r="N48" s="285"/>
      <c r="O48" s="179">
        <f t="shared" si="1"/>
        <v>0</v>
      </c>
      <c r="P48" s="11"/>
      <c r="Q48" s="11" t="str">
        <f t="shared" si="15"/>
        <v>N</v>
      </c>
      <c r="R48" s="286">
        <v>0</v>
      </c>
      <c r="S48" s="179">
        <f t="shared" si="2"/>
        <v>0</v>
      </c>
      <c r="T48" s="290"/>
      <c r="U48" s="215">
        <f t="shared" si="3"/>
        <v>0</v>
      </c>
      <c r="V48" s="291">
        <f t="shared" si="6"/>
        <v>0</v>
      </c>
      <c r="W48" s="288"/>
    </row>
    <row r="49" spans="1:25" x14ac:dyDescent="0.35">
      <c r="A49">
        <v>5208</v>
      </c>
      <c r="B49" s="94" t="s">
        <v>172</v>
      </c>
      <c r="C49" s="110" t="s">
        <v>280</v>
      </c>
      <c r="E49" s="88"/>
      <c r="F49" s="88"/>
      <c r="G49" s="88"/>
      <c r="H49" s="90">
        <f t="shared" si="0"/>
        <v>0</v>
      </c>
      <c r="J49" s="183">
        <f t="shared" si="7"/>
        <v>0</v>
      </c>
      <c r="K49" s="184">
        <f t="shared" si="4"/>
        <v>0</v>
      </c>
      <c r="M49" s="284"/>
      <c r="N49" s="285"/>
      <c r="O49" s="179">
        <f t="shared" si="1"/>
        <v>0</v>
      </c>
      <c r="P49" s="11"/>
      <c r="Q49" s="11" t="str">
        <f t="shared" si="15"/>
        <v>N</v>
      </c>
      <c r="R49" s="286">
        <v>0</v>
      </c>
      <c r="S49" s="179">
        <f t="shared" si="2"/>
        <v>0</v>
      </c>
      <c r="T49" s="290"/>
      <c r="U49" s="215">
        <f t="shared" si="3"/>
        <v>0</v>
      </c>
      <c r="V49" s="291">
        <f t="shared" si="6"/>
        <v>0</v>
      </c>
      <c r="W49" s="288"/>
    </row>
    <row r="50" spans="1:25" x14ac:dyDescent="0.35">
      <c r="A50">
        <v>3402</v>
      </c>
      <c r="B50" s="94" t="s">
        <v>174</v>
      </c>
      <c r="C50" s="110" t="s">
        <v>280</v>
      </c>
      <c r="E50" s="88"/>
      <c r="F50" s="88"/>
      <c r="G50" s="88"/>
      <c r="H50" s="90">
        <f t="shared" si="0"/>
        <v>0</v>
      </c>
      <c r="J50" s="183">
        <f t="shared" si="7"/>
        <v>0</v>
      </c>
      <c r="K50" s="184">
        <f t="shared" si="4"/>
        <v>0</v>
      </c>
      <c r="M50" s="284"/>
      <c r="N50" s="285"/>
      <c r="O50" s="179">
        <f t="shared" si="1"/>
        <v>0</v>
      </c>
      <c r="P50" s="11"/>
      <c r="Q50" s="11" t="str">
        <f t="shared" si="15"/>
        <v>N</v>
      </c>
      <c r="R50" s="286">
        <v>0</v>
      </c>
      <c r="S50" s="179">
        <f t="shared" si="2"/>
        <v>0</v>
      </c>
      <c r="T50" s="290"/>
      <c r="U50" s="215">
        <f t="shared" si="3"/>
        <v>0</v>
      </c>
      <c r="V50" s="291">
        <f t="shared" si="6"/>
        <v>0</v>
      </c>
      <c r="W50" s="288"/>
    </row>
    <row r="51" spans="1:25" x14ac:dyDescent="0.35">
      <c r="A51">
        <v>2035</v>
      </c>
      <c r="B51" s="94" t="s">
        <v>175</v>
      </c>
      <c r="C51" s="110" t="s">
        <v>280</v>
      </c>
      <c r="E51" s="88"/>
      <c r="F51" s="88"/>
      <c r="G51" s="88"/>
      <c r="H51" s="90">
        <f t="shared" si="0"/>
        <v>0</v>
      </c>
      <c r="J51" s="183">
        <f t="shared" si="7"/>
        <v>0</v>
      </c>
      <c r="K51" s="184">
        <f t="shared" si="4"/>
        <v>0</v>
      </c>
      <c r="M51" s="284"/>
      <c r="N51" s="285"/>
      <c r="O51" s="179">
        <f t="shared" si="1"/>
        <v>0</v>
      </c>
      <c r="P51" s="11"/>
      <c r="Q51" s="11" t="str">
        <f t="shared" si="15"/>
        <v>N</v>
      </c>
      <c r="R51" s="286">
        <v>0</v>
      </c>
      <c r="S51" s="179">
        <f t="shared" si="2"/>
        <v>0</v>
      </c>
      <c r="T51" s="290"/>
      <c r="U51" s="215">
        <f t="shared" si="3"/>
        <v>0</v>
      </c>
      <c r="V51" s="291">
        <f t="shared" si="6"/>
        <v>0</v>
      </c>
      <c r="W51" s="288"/>
    </row>
    <row r="52" spans="1:25" x14ac:dyDescent="0.35">
      <c r="A52">
        <v>3404</v>
      </c>
      <c r="B52" s="94" t="s">
        <v>178</v>
      </c>
      <c r="C52" s="110" t="s">
        <v>280</v>
      </c>
      <c r="E52" s="88"/>
      <c r="F52" s="88"/>
      <c r="G52" s="88"/>
      <c r="H52" s="90">
        <f t="shared" si="0"/>
        <v>0</v>
      </c>
      <c r="J52" s="183">
        <f t="shared" si="7"/>
        <v>0</v>
      </c>
      <c r="K52" s="184">
        <f t="shared" si="4"/>
        <v>0</v>
      </c>
      <c r="M52" s="284"/>
      <c r="N52" s="285"/>
      <c r="O52" s="179">
        <f t="shared" si="1"/>
        <v>0</v>
      </c>
      <c r="P52" s="11"/>
      <c r="Q52" s="11" t="str">
        <f t="shared" si="15"/>
        <v>N</v>
      </c>
      <c r="R52" s="286">
        <v>0</v>
      </c>
      <c r="S52" s="179">
        <f t="shared" si="2"/>
        <v>0</v>
      </c>
      <c r="T52" s="290"/>
      <c r="U52" s="215">
        <f t="shared" si="3"/>
        <v>0</v>
      </c>
      <c r="V52" s="291">
        <f t="shared" si="6"/>
        <v>0</v>
      </c>
      <c r="W52" s="288"/>
    </row>
    <row r="53" spans="1:25" x14ac:dyDescent="0.35">
      <c r="A53">
        <v>3306</v>
      </c>
      <c r="B53" s="94" t="s">
        <v>179</v>
      </c>
      <c r="C53" s="110" t="s">
        <v>280</v>
      </c>
      <c r="E53" s="88"/>
      <c r="F53" s="88"/>
      <c r="G53" s="88"/>
      <c r="H53" s="90">
        <f t="shared" si="0"/>
        <v>0</v>
      </c>
      <c r="J53" s="183">
        <f t="shared" si="7"/>
        <v>0</v>
      </c>
      <c r="K53" s="184">
        <f t="shared" si="4"/>
        <v>0</v>
      </c>
      <c r="M53" s="284"/>
      <c r="N53" s="285"/>
      <c r="O53" s="179">
        <f t="shared" si="1"/>
        <v>0</v>
      </c>
      <c r="P53" s="11"/>
      <c r="Q53" s="11" t="str">
        <f t="shared" si="15"/>
        <v>N</v>
      </c>
      <c r="R53" s="286">
        <v>0</v>
      </c>
      <c r="S53" s="179">
        <f t="shared" si="2"/>
        <v>0</v>
      </c>
      <c r="T53" s="290"/>
      <c r="U53" s="215">
        <f t="shared" si="3"/>
        <v>0</v>
      </c>
      <c r="V53" s="291">
        <f t="shared" si="6"/>
        <v>0</v>
      </c>
      <c r="W53" s="288"/>
    </row>
    <row r="54" spans="1:25" x14ac:dyDescent="0.35">
      <c r="A54">
        <v>3400</v>
      </c>
      <c r="B54" s="94" t="s">
        <v>181</v>
      </c>
      <c r="C54" s="110" t="s">
        <v>280</v>
      </c>
      <c r="E54" s="88"/>
      <c r="F54" s="88"/>
      <c r="G54" s="88"/>
      <c r="H54" s="90">
        <f t="shared" si="0"/>
        <v>0</v>
      </c>
      <c r="J54" s="183">
        <f t="shared" si="7"/>
        <v>0</v>
      </c>
      <c r="K54" s="184">
        <f t="shared" si="4"/>
        <v>0</v>
      </c>
      <c r="M54" s="284"/>
      <c r="N54" s="285"/>
      <c r="O54" s="179">
        <f t="shared" si="1"/>
        <v>0</v>
      </c>
      <c r="P54" s="11"/>
      <c r="Q54" s="11" t="str">
        <f t="shared" si="15"/>
        <v>N</v>
      </c>
      <c r="R54" s="286">
        <v>0</v>
      </c>
      <c r="S54" s="179">
        <f t="shared" si="2"/>
        <v>0</v>
      </c>
      <c r="T54" s="290"/>
      <c r="U54" s="215">
        <f t="shared" si="3"/>
        <v>0</v>
      </c>
      <c r="V54" s="291">
        <f t="shared" si="6"/>
        <v>0</v>
      </c>
      <c r="W54" s="288"/>
    </row>
    <row r="55" spans="1:25" x14ac:dyDescent="0.35">
      <c r="A55">
        <v>3403</v>
      </c>
      <c r="B55" s="94" t="s">
        <v>182</v>
      </c>
      <c r="C55" s="110" t="s">
        <v>280</v>
      </c>
      <c r="E55" s="88"/>
      <c r="F55" s="88"/>
      <c r="G55" s="88"/>
      <c r="H55" s="90">
        <f t="shared" si="0"/>
        <v>0</v>
      </c>
      <c r="J55" s="183">
        <f t="shared" si="7"/>
        <v>0</v>
      </c>
      <c r="K55" s="184">
        <f t="shared" ref="K55:K63" si="16">H55*J55</f>
        <v>0</v>
      </c>
      <c r="M55" s="284"/>
      <c r="N55" s="285"/>
      <c r="O55" s="179">
        <f t="shared" si="1"/>
        <v>0</v>
      </c>
      <c r="P55" s="11"/>
      <c r="Q55" s="11" t="str">
        <f t="shared" si="15"/>
        <v>N</v>
      </c>
      <c r="R55" s="286">
        <v>0</v>
      </c>
      <c r="S55" s="179">
        <f t="shared" ref="S55:S63" si="17">H55*R55</f>
        <v>0</v>
      </c>
      <c r="T55" s="290"/>
      <c r="U55" s="215">
        <f t="shared" si="3"/>
        <v>0</v>
      </c>
      <c r="V55" s="291">
        <f t="shared" ref="V55:V63" si="18">H55*U55</f>
        <v>0</v>
      </c>
      <c r="W55" s="288"/>
    </row>
    <row r="56" spans="1:25" s="58" customFormat="1" x14ac:dyDescent="0.35">
      <c r="A56">
        <v>2004</v>
      </c>
      <c r="B56" s="94" t="s">
        <v>184</v>
      </c>
      <c r="C56" s="110" t="s">
        <v>280</v>
      </c>
      <c r="D56"/>
      <c r="E56" s="88"/>
      <c r="F56" s="88"/>
      <c r="G56" s="88"/>
      <c r="H56" s="90">
        <f t="shared" si="0"/>
        <v>0</v>
      </c>
      <c r="J56" s="183">
        <f t="shared" si="7"/>
        <v>0</v>
      </c>
      <c r="K56" s="184">
        <f t="shared" si="16"/>
        <v>0</v>
      </c>
      <c r="L56"/>
      <c r="M56" s="284"/>
      <c r="N56" s="285"/>
      <c r="O56" s="179">
        <f t="shared" si="1"/>
        <v>0</v>
      </c>
      <c r="P56" s="11"/>
      <c r="Q56" s="11" t="str">
        <f t="shared" si="15"/>
        <v>N</v>
      </c>
      <c r="R56" s="286">
        <v>0</v>
      </c>
      <c r="S56" s="179">
        <f t="shared" si="17"/>
        <v>0</v>
      </c>
      <c r="T56" s="290"/>
      <c r="U56" s="215">
        <f t="shared" si="3"/>
        <v>0</v>
      </c>
      <c r="V56" s="291">
        <f t="shared" si="18"/>
        <v>0</v>
      </c>
      <c r="W56" s="288"/>
      <c r="X56"/>
      <c r="Y56"/>
    </row>
    <row r="57" spans="1:25" x14ac:dyDescent="0.35">
      <c r="A57">
        <v>2065</v>
      </c>
      <c r="B57" s="94" t="s">
        <v>190</v>
      </c>
      <c r="C57" s="110" t="s">
        <v>280</v>
      </c>
      <c r="E57" s="88"/>
      <c r="F57" s="88"/>
      <c r="G57" s="88"/>
      <c r="H57" s="90">
        <f t="shared" si="0"/>
        <v>0</v>
      </c>
      <c r="J57" s="183">
        <f t="shared" si="7"/>
        <v>0</v>
      </c>
      <c r="K57" s="184">
        <f t="shared" si="16"/>
        <v>0</v>
      </c>
      <c r="M57" s="284"/>
      <c r="N57" s="285"/>
      <c r="O57" s="179">
        <f t="shared" si="1"/>
        <v>0</v>
      </c>
      <c r="P57" s="11"/>
      <c r="Q57" s="11" t="str">
        <f t="shared" si="15"/>
        <v>N</v>
      </c>
      <c r="R57" s="286">
        <v>0</v>
      </c>
      <c r="S57" s="179">
        <f t="shared" si="17"/>
        <v>0</v>
      </c>
      <c r="T57" s="290"/>
      <c r="U57" s="215">
        <f t="shared" si="3"/>
        <v>0</v>
      </c>
      <c r="V57" s="291">
        <f t="shared" si="18"/>
        <v>0</v>
      </c>
      <c r="W57" s="288"/>
    </row>
    <row r="58" spans="1:25" x14ac:dyDescent="0.35">
      <c r="A58">
        <v>2051</v>
      </c>
      <c r="B58" s="94" t="s">
        <v>191</v>
      </c>
      <c r="C58" s="110" t="s">
        <v>280</v>
      </c>
      <c r="E58" s="88"/>
      <c r="F58" s="88"/>
      <c r="G58" s="88"/>
      <c r="H58" s="90">
        <f t="shared" si="0"/>
        <v>0</v>
      </c>
      <c r="J58" s="183">
        <f t="shared" si="7"/>
        <v>0</v>
      </c>
      <c r="K58" s="184">
        <f t="shared" si="16"/>
        <v>0</v>
      </c>
      <c r="M58" s="284"/>
      <c r="N58" s="285"/>
      <c r="O58" s="179">
        <f t="shared" si="1"/>
        <v>0</v>
      </c>
      <c r="P58" s="11"/>
      <c r="Q58" s="11" t="str">
        <f t="shared" si="15"/>
        <v>N</v>
      </c>
      <c r="R58" s="286">
        <v>0</v>
      </c>
      <c r="S58" s="179">
        <f t="shared" si="17"/>
        <v>0</v>
      </c>
      <c r="T58" s="290"/>
      <c r="U58" s="215">
        <f t="shared" si="3"/>
        <v>0</v>
      </c>
      <c r="V58" s="291">
        <f t="shared" si="18"/>
        <v>0</v>
      </c>
      <c r="W58" s="288"/>
    </row>
    <row r="59" spans="1:25" x14ac:dyDescent="0.35">
      <c r="A59">
        <v>2069</v>
      </c>
      <c r="B59" s="94" t="s">
        <v>192</v>
      </c>
      <c r="C59" s="110" t="s">
        <v>280</v>
      </c>
      <c r="E59" s="88"/>
      <c r="F59" s="88"/>
      <c r="G59" s="88"/>
      <c r="H59" s="90">
        <f t="shared" si="0"/>
        <v>0</v>
      </c>
      <c r="J59" s="183">
        <f t="shared" si="7"/>
        <v>0</v>
      </c>
      <c r="K59" s="184">
        <f t="shared" si="16"/>
        <v>0</v>
      </c>
      <c r="M59" s="284"/>
      <c r="N59" s="285"/>
      <c r="O59" s="179">
        <f t="shared" si="1"/>
        <v>0</v>
      </c>
      <c r="P59" s="11"/>
      <c r="Q59" s="11" t="str">
        <f t="shared" si="15"/>
        <v>N</v>
      </c>
      <c r="R59" s="286">
        <v>0</v>
      </c>
      <c r="S59" s="179">
        <f t="shared" si="17"/>
        <v>0</v>
      </c>
      <c r="T59" s="290"/>
      <c r="U59" s="215">
        <f t="shared" si="3"/>
        <v>0</v>
      </c>
      <c r="V59" s="291">
        <f t="shared" si="18"/>
        <v>0</v>
      </c>
      <c r="W59" s="288"/>
    </row>
    <row r="60" spans="1:25" x14ac:dyDescent="0.35">
      <c r="A60">
        <v>2074</v>
      </c>
      <c r="B60" s="94" t="s">
        <v>194</v>
      </c>
      <c r="C60" s="110" t="s">
        <v>280</v>
      </c>
      <c r="E60" s="88"/>
      <c r="F60" s="88"/>
      <c r="G60" s="88"/>
      <c r="H60" s="90">
        <f t="shared" si="0"/>
        <v>0</v>
      </c>
      <c r="J60" s="183">
        <f t="shared" si="7"/>
        <v>0</v>
      </c>
      <c r="K60" s="184">
        <f t="shared" si="16"/>
        <v>0</v>
      </c>
      <c r="M60" s="284"/>
      <c r="N60" s="285"/>
      <c r="O60" s="179">
        <f t="shared" si="1"/>
        <v>0</v>
      </c>
      <c r="P60" s="11"/>
      <c r="Q60" s="11" t="str">
        <f t="shared" si="15"/>
        <v>N</v>
      </c>
      <c r="R60" s="286">
        <v>0</v>
      </c>
      <c r="S60" s="179">
        <f t="shared" si="17"/>
        <v>0</v>
      </c>
      <c r="T60" s="290"/>
      <c r="U60" s="215">
        <f t="shared" si="3"/>
        <v>0</v>
      </c>
      <c r="V60" s="291">
        <f t="shared" si="18"/>
        <v>0</v>
      </c>
      <c r="W60" s="288"/>
    </row>
    <row r="61" spans="1:25" x14ac:dyDescent="0.35">
      <c r="A61">
        <v>2049</v>
      </c>
      <c r="B61" s="94" t="s">
        <v>196</v>
      </c>
      <c r="C61" s="110" t="s">
        <v>280</v>
      </c>
      <c r="E61" s="88"/>
      <c r="F61" s="88"/>
      <c r="G61" s="88"/>
      <c r="H61" s="90">
        <f t="shared" ref="H61:H62" si="19">SUM(E61:G61)</f>
        <v>0</v>
      </c>
      <c r="J61" s="183">
        <f t="shared" si="7"/>
        <v>0</v>
      </c>
      <c r="K61" s="184">
        <f t="shared" si="16"/>
        <v>0</v>
      </c>
      <c r="M61" s="284"/>
      <c r="N61" s="285"/>
      <c r="O61" s="179">
        <f t="shared" si="1"/>
        <v>0</v>
      </c>
      <c r="P61" s="11"/>
      <c r="Q61" s="11" t="str">
        <f t="shared" si="15"/>
        <v>N</v>
      </c>
      <c r="R61" s="286">
        <v>0</v>
      </c>
      <c r="S61" s="179">
        <f t="shared" si="17"/>
        <v>0</v>
      </c>
      <c r="T61" s="290"/>
      <c r="U61" s="215">
        <f t="shared" si="3"/>
        <v>0</v>
      </c>
      <c r="V61" s="291">
        <f t="shared" si="18"/>
        <v>0</v>
      </c>
      <c r="W61" s="288"/>
    </row>
    <row r="62" spans="1:25" x14ac:dyDescent="0.35">
      <c r="A62">
        <v>2082</v>
      </c>
      <c r="B62" s="94" t="s">
        <v>197</v>
      </c>
      <c r="C62" s="110" t="s">
        <v>280</v>
      </c>
      <c r="E62" s="88"/>
      <c r="F62" s="88"/>
      <c r="G62" s="88"/>
      <c r="H62" s="90">
        <f t="shared" si="19"/>
        <v>0</v>
      </c>
      <c r="J62" s="183">
        <f t="shared" si="7"/>
        <v>0</v>
      </c>
      <c r="K62" s="184">
        <f t="shared" si="16"/>
        <v>0</v>
      </c>
      <c r="M62" s="284"/>
      <c r="N62" s="285"/>
      <c r="O62" s="179">
        <f t="shared" si="1"/>
        <v>0</v>
      </c>
      <c r="P62" s="11"/>
      <c r="Q62" s="11" t="str">
        <f t="shared" si="15"/>
        <v>N</v>
      </c>
      <c r="R62" s="286">
        <v>0</v>
      </c>
      <c r="S62" s="179">
        <f t="shared" si="17"/>
        <v>0</v>
      </c>
      <c r="T62" s="290"/>
      <c r="U62" s="215">
        <f t="shared" si="3"/>
        <v>0</v>
      </c>
      <c r="V62" s="291">
        <f t="shared" si="18"/>
        <v>0</v>
      </c>
      <c r="W62" s="288"/>
    </row>
    <row r="63" spans="1:25" x14ac:dyDescent="0.35">
      <c r="A63">
        <v>2060</v>
      </c>
      <c r="B63" s="94" t="s">
        <v>198</v>
      </c>
      <c r="C63" s="110" t="s">
        <v>280</v>
      </c>
      <c r="D63" s="88">
        <v>0</v>
      </c>
      <c r="E63" s="88"/>
      <c r="F63" s="88"/>
      <c r="G63" s="88"/>
      <c r="H63" s="90">
        <f>SUM(E63:G63)</f>
        <v>0</v>
      </c>
      <c r="J63" s="183">
        <f t="shared" si="7"/>
        <v>0</v>
      </c>
      <c r="K63" s="184">
        <f t="shared" si="16"/>
        <v>0</v>
      </c>
      <c r="M63" s="284"/>
      <c r="N63" s="285"/>
      <c r="O63" s="179">
        <f t="shared" ref="O63" si="20">H63*N63</f>
        <v>0</v>
      </c>
      <c r="P63" s="11"/>
      <c r="Q63" s="11" t="str">
        <f t="shared" si="15"/>
        <v>N</v>
      </c>
      <c r="R63" s="286">
        <v>0</v>
      </c>
      <c r="S63" s="179">
        <f t="shared" si="17"/>
        <v>0</v>
      </c>
      <c r="T63" s="290"/>
      <c r="U63" s="215">
        <f>J63+N63+R63</f>
        <v>0</v>
      </c>
      <c r="V63" s="291">
        <f t="shared" si="18"/>
        <v>0</v>
      </c>
      <c r="W63" s="288"/>
    </row>
    <row r="64" spans="1:25" x14ac:dyDescent="0.35">
      <c r="M64" s="259"/>
      <c r="N64" s="181"/>
      <c r="P64" s="182"/>
      <c r="U64" s="76"/>
      <c r="V64" s="71"/>
      <c r="W64" s="73"/>
    </row>
    <row r="65" spans="3:25" x14ac:dyDescent="0.35">
      <c r="C65" s="75"/>
      <c r="D65" s="58"/>
      <c r="E65" s="90">
        <f t="shared" ref="E65:G65" si="21">SUM(E6:E63)</f>
        <v>0</v>
      </c>
      <c r="F65" s="90">
        <f t="shared" si="21"/>
        <v>0</v>
      </c>
      <c r="G65" s="90">
        <f t="shared" si="21"/>
        <v>0</v>
      </c>
      <c r="H65" s="90">
        <f>SUM(H6:H63)</f>
        <v>0</v>
      </c>
      <c r="J65" s="76"/>
      <c r="K65" s="90">
        <f>SUM(K6:K63)</f>
        <v>0</v>
      </c>
      <c r="L65" s="182"/>
      <c r="M65" s="259"/>
      <c r="N65" s="181"/>
      <c r="O65" s="90">
        <f>SUM(O6:O63)</f>
        <v>0</v>
      </c>
      <c r="P65" s="182"/>
      <c r="Q65" s="181"/>
      <c r="R65" s="180"/>
      <c r="S65" s="90">
        <f>SUM(S6:S63)</f>
        <v>0</v>
      </c>
      <c r="T65" s="58"/>
      <c r="U65" s="76"/>
      <c r="V65" s="90">
        <f>SUM(V6:V63)</f>
        <v>0</v>
      </c>
      <c r="W65" s="90">
        <f>SUM(W6:W63)</f>
        <v>0</v>
      </c>
      <c r="X65" s="58"/>
      <c r="Y65" s="58"/>
    </row>
    <row r="66" spans="3:25" x14ac:dyDescent="0.35">
      <c r="C66" s="52"/>
      <c r="E66" s="11"/>
      <c r="F66" s="11"/>
      <c r="G66" s="70"/>
      <c r="H66" s="71"/>
      <c r="J66" s="47"/>
      <c r="K66" s="13"/>
      <c r="M66" s="258"/>
      <c r="N66" s="44"/>
      <c r="O66" s="12"/>
      <c r="Q66" s="11"/>
      <c r="R66" s="13"/>
      <c r="S66" s="13"/>
      <c r="U66" s="76"/>
      <c r="V66" s="72"/>
      <c r="W66" s="73"/>
    </row>
    <row r="67" spans="3:25" x14ac:dyDescent="0.35">
      <c r="C67" s="77"/>
      <c r="E67" s="14"/>
      <c r="F67" s="14"/>
      <c r="G67" s="78"/>
      <c r="H67" s="283">
        <v>-1779936.9863098168</v>
      </c>
      <c r="J67" s="79"/>
      <c r="K67" s="16"/>
      <c r="M67" s="260"/>
      <c r="N67" s="80"/>
      <c r="O67" s="15"/>
      <c r="Q67" s="14"/>
      <c r="R67" s="16"/>
      <c r="S67" s="16"/>
      <c r="U67" s="289"/>
      <c r="V67" s="81"/>
      <c r="W67" s="82"/>
    </row>
  </sheetData>
  <mergeCells count="4">
    <mergeCell ref="E3:H3"/>
    <mergeCell ref="J3:K3"/>
    <mergeCell ref="M3:O3"/>
    <mergeCell ref="Q3:S3"/>
  </mergeCells>
  <phoneticPr fontId="2" type="noConversion"/>
  <pageMargins left="0.59055118110236227" right="0.39370078740157483" top="0.98425196850393704" bottom="0.98425196850393704" header="0.51181102362204722" footer="0.51181102362204722"/>
  <pageSetup paperSize="8" scale="65" fitToHeight="2" orientation="landscape" r:id="rId1"/>
  <headerFooter alignWithMargins="0">
    <oddFooter>&amp;L&amp;D&amp;C&amp;F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K72"/>
  <sheetViews>
    <sheetView zoomScale="70" zoomScaleNormal="70" workbookViewId="0">
      <pane xSplit="4" ySplit="8" topLeftCell="E9" activePane="bottomRight" state="frozen"/>
      <selection pane="topRight" activeCell="E1" sqref="E1"/>
      <selection pane="bottomLeft" activeCell="A9" sqref="A9"/>
      <selection pane="bottomRight" activeCell="G65" sqref="E9:G65"/>
    </sheetView>
  </sheetViews>
  <sheetFormatPr defaultColWidth="9.1796875" defaultRowHeight="14.5" x14ac:dyDescent="0.35"/>
  <cols>
    <col min="1" max="1" width="9.1796875" style="186"/>
    <col min="2" max="2" width="41.7265625" style="186" customWidth="1"/>
    <col min="3" max="3" width="7.54296875" style="186" bestFit="1" customWidth="1"/>
    <col min="4" max="4" width="1" style="186" customWidth="1"/>
    <col min="5" max="6" width="12.1796875" style="186" customWidth="1"/>
    <col min="7" max="7" width="12.1796875" style="188" customWidth="1"/>
    <col min="8" max="8" width="10.54296875" style="187" customWidth="1"/>
    <col min="9" max="9" width="2.81640625" style="187" customWidth="1"/>
    <col min="10" max="10" width="14.453125" style="187" customWidth="1"/>
    <col min="11" max="11" width="14.81640625" style="187" bestFit="1" customWidth="1"/>
    <col min="12" max="12" width="2.1796875" style="186" customWidth="1"/>
    <col min="13" max="16384" width="9.1796875" style="186"/>
  </cols>
  <sheetData>
    <row r="1" spans="1:11" ht="21" x14ac:dyDescent="0.5">
      <c r="B1" s="185" t="s">
        <v>412</v>
      </c>
      <c r="G1" s="186"/>
    </row>
    <row r="2" spans="1:11" ht="15" thickBot="1" x14ac:dyDescent="0.4"/>
    <row r="3" spans="1:11" ht="15" thickBot="1" x14ac:dyDescent="0.4">
      <c r="B3" s="189" t="s">
        <v>413</v>
      </c>
      <c r="F3" s="190"/>
    </row>
    <row r="4" spans="1:11" x14ac:dyDescent="0.35">
      <c r="F4" s="59"/>
    </row>
    <row r="5" spans="1:11" x14ac:dyDescent="0.35">
      <c r="B5" s="191"/>
      <c r="C5" s="192"/>
      <c r="E5" s="440" t="s">
        <v>414</v>
      </c>
      <c r="F5" s="441"/>
      <c r="G5" s="441"/>
      <c r="H5" s="442"/>
    </row>
    <row r="6" spans="1:11" x14ac:dyDescent="0.35">
      <c r="B6" s="193"/>
      <c r="C6" s="194"/>
      <c r="E6" s="195"/>
      <c r="F6" s="196"/>
      <c r="G6" s="186" t="s">
        <v>395</v>
      </c>
      <c r="H6" s="197"/>
    </row>
    <row r="7" spans="1:11" ht="15" customHeight="1" x14ac:dyDescent="0.35">
      <c r="B7" s="198"/>
      <c r="C7" s="199"/>
      <c r="E7" s="198"/>
      <c r="F7" s="200"/>
      <c r="G7" s="186" t="s">
        <v>415</v>
      </c>
      <c r="H7" s="201"/>
    </row>
    <row r="8" spans="1:11" s="204" customFormat="1" ht="29" x14ac:dyDescent="0.35">
      <c r="B8" s="202" t="s">
        <v>396</v>
      </c>
      <c r="C8" s="203" t="s">
        <v>397</v>
      </c>
      <c r="E8" s="205" t="s">
        <v>416</v>
      </c>
      <c r="F8" s="205" t="s">
        <v>417</v>
      </c>
      <c r="G8" s="292" t="s">
        <v>418</v>
      </c>
      <c r="H8" s="206" t="s">
        <v>401</v>
      </c>
      <c r="I8" s="207"/>
      <c r="J8" s="208" t="s">
        <v>294</v>
      </c>
      <c r="K8" s="208" t="s">
        <v>419</v>
      </c>
    </row>
    <row r="9" spans="1:11" x14ac:dyDescent="0.35">
      <c r="A9">
        <v>1000</v>
      </c>
      <c r="B9" s="94" t="s">
        <v>269</v>
      </c>
      <c r="C9" s="209" t="s">
        <v>280</v>
      </c>
      <c r="E9" s="211"/>
      <c r="F9" s="211"/>
      <c r="G9" s="211"/>
      <c r="H9" s="210">
        <f t="shared" ref="H9:H64" si="0">SUM(E9:G9)</f>
        <v>0</v>
      </c>
      <c r="J9" s="213">
        <f>SUMIF('EYSFF (Universal)'!A:A,'EYSFF (Additional)'!A9,'EYSFF (Universal)'!U:U)</f>
        <v>0</v>
      </c>
      <c r="K9" s="298">
        <f t="shared" ref="K9:K64" si="1">J9*H9</f>
        <v>0</v>
      </c>
    </row>
    <row r="10" spans="1:11" x14ac:dyDescent="0.35">
      <c r="A10">
        <v>2001</v>
      </c>
      <c r="B10" s="94" t="s">
        <v>42</v>
      </c>
      <c r="C10" s="209" t="s">
        <v>280</v>
      </c>
      <c r="E10" s="211"/>
      <c r="F10" s="211"/>
      <c r="G10" s="211"/>
      <c r="H10" s="210">
        <f t="shared" si="0"/>
        <v>0</v>
      </c>
      <c r="J10" s="213">
        <f>SUMIF('EYSFF (Universal)'!A:A,'EYSFF (Additional)'!A10,'EYSFF (Universal)'!U:U)</f>
        <v>0</v>
      </c>
      <c r="K10" s="298">
        <f t="shared" si="1"/>
        <v>0</v>
      </c>
    </row>
    <row r="11" spans="1:11" x14ac:dyDescent="0.35">
      <c r="A11">
        <v>3300</v>
      </c>
      <c r="B11" s="94" t="s">
        <v>270</v>
      </c>
      <c r="C11" s="209" t="s">
        <v>280</v>
      </c>
      <c r="E11" s="211"/>
      <c r="F11" s="211"/>
      <c r="G11" s="211"/>
      <c r="H11" s="210">
        <f t="shared" si="0"/>
        <v>0</v>
      </c>
      <c r="J11" s="213">
        <f>SUMIF('EYSFF (Universal)'!A:A,'EYSFF (Additional)'!A11,'EYSFF (Universal)'!U:U)</f>
        <v>0</v>
      </c>
      <c r="K11" s="298">
        <f t="shared" si="1"/>
        <v>0</v>
      </c>
    </row>
    <row r="12" spans="1:11" x14ac:dyDescent="0.35">
      <c r="A12">
        <v>3401</v>
      </c>
      <c r="B12" s="74" t="s">
        <v>47</v>
      </c>
      <c r="C12" s="209" t="s">
        <v>280</v>
      </c>
      <c r="E12" s="211"/>
      <c r="F12" s="211"/>
      <c r="G12" s="211"/>
      <c r="H12" s="210">
        <f t="shared" si="0"/>
        <v>0</v>
      </c>
      <c r="J12" s="213">
        <f>SUMIF('EYSFF (Universal)'!A:A,'EYSFF (Additional)'!A12,'EYSFF (Universal)'!U:U)</f>
        <v>0</v>
      </c>
      <c r="K12" s="298">
        <f t="shared" si="1"/>
        <v>0</v>
      </c>
    </row>
    <row r="13" spans="1:11" x14ac:dyDescent="0.35">
      <c r="A13">
        <v>2003</v>
      </c>
      <c r="B13" s="94" t="s">
        <v>49</v>
      </c>
      <c r="C13" s="209" t="s">
        <v>280</v>
      </c>
      <c r="E13" s="211"/>
      <c r="F13" s="211"/>
      <c r="G13" s="211"/>
      <c r="H13" s="210">
        <f t="shared" si="0"/>
        <v>0</v>
      </c>
      <c r="J13" s="213">
        <f>SUMIF('EYSFF (Universal)'!A:A,'EYSFF (Additional)'!A13,'EYSFF (Universal)'!U:U)</f>
        <v>0</v>
      </c>
      <c r="K13" s="298">
        <f t="shared" si="1"/>
        <v>0</v>
      </c>
    </row>
    <row r="14" spans="1:11" x14ac:dyDescent="0.35">
      <c r="A14">
        <v>2002</v>
      </c>
      <c r="B14" s="94" t="s">
        <v>50</v>
      </c>
      <c r="C14" s="209" t="s">
        <v>280</v>
      </c>
      <c r="E14" s="211"/>
      <c r="F14" s="211"/>
      <c r="G14" s="211"/>
      <c r="H14" s="210">
        <f t="shared" si="0"/>
        <v>0</v>
      </c>
      <c r="J14" s="213">
        <f>SUMIF('EYSFF (Universal)'!A:A,'EYSFF (Additional)'!A14,'EYSFF (Universal)'!U:U)</f>
        <v>0</v>
      </c>
      <c r="K14" s="298">
        <f t="shared" si="1"/>
        <v>0</v>
      </c>
    </row>
    <row r="15" spans="1:11" x14ac:dyDescent="0.35">
      <c r="A15">
        <v>5206</v>
      </c>
      <c r="B15" s="94" t="s">
        <v>54</v>
      </c>
      <c r="C15" s="209" t="s">
        <v>280</v>
      </c>
      <c r="E15" s="211"/>
      <c r="F15" s="211"/>
      <c r="G15" s="211"/>
      <c r="H15" s="210">
        <f t="shared" si="0"/>
        <v>0</v>
      </c>
      <c r="J15" s="213">
        <f>SUMIF('EYSFF (Universal)'!A:A,'EYSFF (Additional)'!A15,'EYSFF (Universal)'!U:U)</f>
        <v>0</v>
      </c>
      <c r="K15" s="298">
        <f t="shared" si="1"/>
        <v>0</v>
      </c>
    </row>
    <row r="16" spans="1:11" x14ac:dyDescent="0.35">
      <c r="A16">
        <v>2084</v>
      </c>
      <c r="B16" s="94" t="s">
        <v>56</v>
      </c>
      <c r="C16" s="209" t="s">
        <v>280</v>
      </c>
      <c r="E16" s="211"/>
      <c r="F16" s="211"/>
      <c r="G16" s="211"/>
      <c r="H16" s="210">
        <f t="shared" si="0"/>
        <v>0</v>
      </c>
      <c r="J16" s="213">
        <f>SUMIF('EYSFF (Universal)'!A:A,'EYSFF (Additional)'!A16,'EYSFF (Universal)'!U:U)</f>
        <v>0</v>
      </c>
      <c r="K16" s="298">
        <f t="shared" si="1"/>
        <v>0</v>
      </c>
    </row>
    <row r="17" spans="1:11" x14ac:dyDescent="0.35">
      <c r="A17">
        <v>2010</v>
      </c>
      <c r="B17" s="94" t="s">
        <v>58</v>
      </c>
      <c r="C17" s="209" t="s">
        <v>280</v>
      </c>
      <c r="E17" s="211"/>
      <c r="F17" s="211"/>
      <c r="G17" s="211"/>
      <c r="H17" s="210">
        <f t="shared" si="0"/>
        <v>0</v>
      </c>
      <c r="J17" s="213">
        <f>SUMIF('EYSFF (Universal)'!A:A,'EYSFF (Additional)'!A17,'EYSFF (Universal)'!U:U)</f>
        <v>0</v>
      </c>
      <c r="K17" s="298">
        <f t="shared" si="1"/>
        <v>0</v>
      </c>
    </row>
    <row r="18" spans="1:11" x14ac:dyDescent="0.35">
      <c r="A18">
        <v>2012</v>
      </c>
      <c r="B18" s="94" t="s">
        <v>60</v>
      </c>
      <c r="C18" s="209" t="s">
        <v>280</v>
      </c>
      <c r="E18" s="211"/>
      <c r="F18" s="211"/>
      <c r="G18" s="211"/>
      <c r="H18" s="210">
        <f t="shared" si="0"/>
        <v>0</v>
      </c>
      <c r="J18" s="213">
        <f>SUMIF('EYSFF (Universal)'!A:A,'EYSFF (Additional)'!A18,'EYSFF (Universal)'!U:U)</f>
        <v>0</v>
      </c>
      <c r="K18" s="298">
        <f t="shared" si="1"/>
        <v>0</v>
      </c>
    </row>
    <row r="19" spans="1:11" x14ac:dyDescent="0.35">
      <c r="A19">
        <v>3410</v>
      </c>
      <c r="B19" s="94" t="s">
        <v>64</v>
      </c>
      <c r="C19" s="209" t="s">
        <v>280</v>
      </c>
      <c r="E19" s="211"/>
      <c r="F19" s="211"/>
      <c r="G19" s="211"/>
      <c r="H19" s="210">
        <f t="shared" si="0"/>
        <v>0</v>
      </c>
      <c r="J19" s="213">
        <f>SUMIF('EYSFF (Universal)'!A:A,'EYSFF (Additional)'!A19,'EYSFF (Universal)'!U:U)</f>
        <v>0</v>
      </c>
      <c r="K19" s="298">
        <f t="shared" si="1"/>
        <v>0</v>
      </c>
    </row>
    <row r="20" spans="1:11" x14ac:dyDescent="0.35">
      <c r="A20">
        <v>2078</v>
      </c>
      <c r="B20" s="94" t="s">
        <v>66</v>
      </c>
      <c r="C20" s="209" t="s">
        <v>280</v>
      </c>
      <c r="E20" s="211"/>
      <c r="F20" s="211"/>
      <c r="G20" s="211"/>
      <c r="H20" s="210">
        <f t="shared" si="0"/>
        <v>0</v>
      </c>
      <c r="J20" s="213">
        <f>SUMIF('EYSFF (Universal)'!A:A,'EYSFF (Additional)'!A20,'EYSFF (Universal)'!U:U)</f>
        <v>0</v>
      </c>
      <c r="K20" s="298">
        <f t="shared" si="1"/>
        <v>0</v>
      </c>
    </row>
    <row r="21" spans="1:11" x14ac:dyDescent="0.35">
      <c r="A21">
        <v>2016</v>
      </c>
      <c r="B21" s="94" t="s">
        <v>70</v>
      </c>
      <c r="C21" s="209" t="s">
        <v>280</v>
      </c>
      <c r="E21" s="211"/>
      <c r="F21" s="211"/>
      <c r="G21" s="211"/>
      <c r="H21" s="210">
        <f t="shared" si="0"/>
        <v>0</v>
      </c>
      <c r="J21" s="213">
        <f>SUMIF('EYSFF (Universal)'!A:A,'EYSFF (Additional)'!A21,'EYSFF (Universal)'!U:U)</f>
        <v>0</v>
      </c>
      <c r="K21" s="298">
        <f t="shared" si="1"/>
        <v>0</v>
      </c>
    </row>
    <row r="22" spans="1:11" x14ac:dyDescent="0.35">
      <c r="A22">
        <v>3307</v>
      </c>
      <c r="B22" s="94" t="s">
        <v>72</v>
      </c>
      <c r="C22" s="209" t="s">
        <v>280</v>
      </c>
      <c r="E22" s="211"/>
      <c r="F22" s="211"/>
      <c r="G22" s="211"/>
      <c r="H22" s="210">
        <f t="shared" si="0"/>
        <v>0</v>
      </c>
      <c r="J22" s="213">
        <f>SUMIF('EYSFF (Universal)'!A:A,'EYSFF (Additional)'!A22,'EYSFF (Universal)'!U:U)</f>
        <v>0</v>
      </c>
      <c r="K22" s="298">
        <f t="shared" si="1"/>
        <v>0</v>
      </c>
    </row>
    <row r="23" spans="1:11" x14ac:dyDescent="0.35">
      <c r="A23">
        <v>2019</v>
      </c>
      <c r="B23" s="94" t="s">
        <v>74</v>
      </c>
      <c r="C23" s="209" t="s">
        <v>280</v>
      </c>
      <c r="E23" s="211"/>
      <c r="F23" s="211"/>
      <c r="G23" s="211"/>
      <c r="H23" s="210">
        <f t="shared" si="0"/>
        <v>0</v>
      </c>
      <c r="J23" s="213">
        <f>SUMIF('EYSFF (Universal)'!A:A,'EYSFF (Additional)'!A23,'EYSFF (Universal)'!U:U)</f>
        <v>0</v>
      </c>
      <c r="K23" s="298">
        <f t="shared" si="1"/>
        <v>0</v>
      </c>
    </row>
    <row r="24" spans="1:11" x14ac:dyDescent="0.35">
      <c r="A24">
        <v>2076</v>
      </c>
      <c r="B24" s="94" t="s">
        <v>78</v>
      </c>
      <c r="C24" s="209" t="s">
        <v>280</v>
      </c>
      <c r="E24" s="211"/>
      <c r="F24" s="211"/>
      <c r="G24" s="211"/>
      <c r="H24" s="210">
        <f t="shared" si="0"/>
        <v>0</v>
      </c>
      <c r="J24" s="213">
        <f>SUMIF('EYSFF (Universal)'!A:A,'EYSFF (Additional)'!A24,'EYSFF (Universal)'!U:U)</f>
        <v>0</v>
      </c>
      <c r="K24" s="298">
        <f t="shared" si="1"/>
        <v>0</v>
      </c>
    </row>
    <row r="25" spans="1:11" x14ac:dyDescent="0.35">
      <c r="A25">
        <v>2020</v>
      </c>
      <c r="B25" s="74" t="s">
        <v>80</v>
      </c>
      <c r="C25" s="209" t="s">
        <v>280</v>
      </c>
      <c r="E25" s="211"/>
      <c r="F25" s="211"/>
      <c r="G25" s="211"/>
      <c r="H25" s="210">
        <f t="shared" si="0"/>
        <v>0</v>
      </c>
      <c r="J25" s="213">
        <f>SUMIF('EYSFF (Universal)'!A:A,'EYSFF (Additional)'!A25,'EYSFF (Universal)'!U:U)</f>
        <v>0</v>
      </c>
      <c r="K25" s="298">
        <f t="shared" si="1"/>
        <v>0</v>
      </c>
    </row>
    <row r="26" spans="1:11" x14ac:dyDescent="0.35">
      <c r="A26">
        <v>5203</v>
      </c>
      <c r="B26" s="94" t="s">
        <v>82</v>
      </c>
      <c r="C26" s="209" t="s">
        <v>280</v>
      </c>
      <c r="E26" s="211"/>
      <c r="F26" s="211"/>
      <c r="G26" s="211"/>
      <c r="H26" s="210">
        <f t="shared" si="0"/>
        <v>0</v>
      </c>
      <c r="J26" s="213">
        <f>SUMIF('EYSFF (Universal)'!A:A,'EYSFF (Additional)'!A26,'EYSFF (Universal)'!U:U)</f>
        <v>0</v>
      </c>
      <c r="K26" s="298">
        <f t="shared" si="1"/>
        <v>0</v>
      </c>
    </row>
    <row r="27" spans="1:11" x14ac:dyDescent="0.35">
      <c r="A27">
        <v>2024</v>
      </c>
      <c r="B27" s="94" t="s">
        <v>89</v>
      </c>
      <c r="C27" s="209" t="s">
        <v>280</v>
      </c>
      <c r="E27" s="211"/>
      <c r="F27" s="211"/>
      <c r="G27" s="211"/>
      <c r="H27" s="210">
        <f t="shared" si="0"/>
        <v>0</v>
      </c>
      <c r="J27" s="213">
        <f>SUMIF('EYSFF (Universal)'!A:A,'EYSFF (Additional)'!A27,'EYSFF (Universal)'!U:U)</f>
        <v>0</v>
      </c>
      <c r="K27" s="298">
        <f t="shared" si="1"/>
        <v>0</v>
      </c>
    </row>
    <row r="28" spans="1:11" x14ac:dyDescent="0.35">
      <c r="A28">
        <v>2025</v>
      </c>
      <c r="B28" s="94" t="s">
        <v>94</v>
      </c>
      <c r="C28" s="209" t="s">
        <v>280</v>
      </c>
      <c r="E28" s="211"/>
      <c r="F28" s="211"/>
      <c r="G28" s="211"/>
      <c r="H28" s="210">
        <f t="shared" si="0"/>
        <v>0</v>
      </c>
      <c r="J28" s="213">
        <f>SUMIF('EYSFF (Universal)'!A:A,'EYSFF (Additional)'!A28,'EYSFF (Universal)'!U:U)</f>
        <v>0</v>
      </c>
      <c r="K28" s="298">
        <f t="shared" si="1"/>
        <v>0</v>
      </c>
    </row>
    <row r="29" spans="1:11" x14ac:dyDescent="0.35">
      <c r="A29">
        <v>2026</v>
      </c>
      <c r="B29" s="94" t="s">
        <v>96</v>
      </c>
      <c r="C29" s="209" t="s">
        <v>280</v>
      </c>
      <c r="E29" s="211"/>
      <c r="F29" s="211"/>
      <c r="G29" s="211"/>
      <c r="H29" s="210">
        <f t="shared" si="0"/>
        <v>0</v>
      </c>
      <c r="J29" s="213">
        <f>SUMIF('EYSFF (Universal)'!A:A,'EYSFF (Additional)'!A29,'EYSFF (Universal)'!U:U)</f>
        <v>0</v>
      </c>
      <c r="K29" s="298">
        <f t="shared" si="1"/>
        <v>0</v>
      </c>
    </row>
    <row r="30" spans="1:11" x14ac:dyDescent="0.35">
      <c r="A30">
        <v>5211</v>
      </c>
      <c r="B30" s="94" t="s">
        <v>100</v>
      </c>
      <c r="C30" s="209" t="s">
        <v>280</v>
      </c>
      <c r="E30" s="211"/>
      <c r="F30" s="211"/>
      <c r="G30" s="211"/>
      <c r="H30" s="210">
        <f t="shared" si="0"/>
        <v>0</v>
      </c>
      <c r="J30" s="213">
        <f>SUMIF('EYSFF (Universal)'!A:A,'EYSFF (Additional)'!A30,'EYSFF (Universal)'!U:U)</f>
        <v>0</v>
      </c>
      <c r="K30" s="298">
        <f t="shared" si="1"/>
        <v>0</v>
      </c>
    </row>
    <row r="31" spans="1:11" x14ac:dyDescent="0.35">
      <c r="A31">
        <v>2029</v>
      </c>
      <c r="B31" s="94" t="s">
        <v>104</v>
      </c>
      <c r="C31" s="209" t="s">
        <v>280</v>
      </c>
      <c r="E31" s="211"/>
      <c r="F31" s="211"/>
      <c r="G31" s="211"/>
      <c r="H31" s="210">
        <f t="shared" si="0"/>
        <v>0</v>
      </c>
      <c r="J31" s="213">
        <f>SUMIF('EYSFF (Universal)'!A:A,'EYSFF (Additional)'!A31,'EYSFF (Universal)'!U:U)</f>
        <v>0</v>
      </c>
      <c r="K31" s="298">
        <f t="shared" si="1"/>
        <v>0</v>
      </c>
    </row>
    <row r="32" spans="1:11" x14ac:dyDescent="0.35">
      <c r="A32">
        <v>2061</v>
      </c>
      <c r="B32" s="94" t="s">
        <v>106</v>
      </c>
      <c r="C32" s="209" t="s">
        <v>280</v>
      </c>
      <c r="E32" s="211"/>
      <c r="F32" s="211"/>
      <c r="G32" s="211"/>
      <c r="H32" s="210">
        <f t="shared" si="0"/>
        <v>0</v>
      </c>
      <c r="J32" s="213">
        <f>SUMIF('EYSFF (Universal)'!A:A,'EYSFF (Additional)'!A32,'EYSFF (Universal)'!U:U)</f>
        <v>0</v>
      </c>
      <c r="K32" s="298">
        <f t="shared" si="1"/>
        <v>0</v>
      </c>
    </row>
    <row r="33" spans="1:11" x14ac:dyDescent="0.35">
      <c r="A33">
        <v>2021</v>
      </c>
      <c r="B33" s="94" t="s">
        <v>109</v>
      </c>
      <c r="C33" s="209" t="s">
        <v>280</v>
      </c>
      <c r="E33" s="211"/>
      <c r="F33" s="211"/>
      <c r="G33" s="211"/>
      <c r="H33" s="210">
        <f t="shared" si="0"/>
        <v>0</v>
      </c>
      <c r="J33" s="213">
        <f>SUMIF('EYSFF (Universal)'!A:A,'EYSFF (Additional)'!A33,'EYSFF (Universal)'!U:U)</f>
        <v>0</v>
      </c>
      <c r="K33" s="298">
        <f t="shared" si="1"/>
        <v>0</v>
      </c>
    </row>
    <row r="34" spans="1:11" x14ac:dyDescent="0.35">
      <c r="A34">
        <v>2063</v>
      </c>
      <c r="B34" s="94" t="s">
        <v>111</v>
      </c>
      <c r="C34" s="209" t="s">
        <v>280</v>
      </c>
      <c r="E34" s="211"/>
      <c r="F34" s="211"/>
      <c r="G34" s="211"/>
      <c r="H34" s="210">
        <f t="shared" si="0"/>
        <v>0</v>
      </c>
      <c r="J34" s="213">
        <f>SUMIF('EYSFF (Universal)'!A:A,'EYSFF (Additional)'!A34,'EYSFF (Universal)'!U:U)</f>
        <v>0</v>
      </c>
      <c r="K34" s="298">
        <f t="shared" si="1"/>
        <v>0</v>
      </c>
    </row>
    <row r="35" spans="1:11" x14ac:dyDescent="0.35">
      <c r="A35">
        <v>2081</v>
      </c>
      <c r="B35" s="94" t="s">
        <v>112</v>
      </c>
      <c r="C35" s="209" t="s">
        <v>280</v>
      </c>
      <c r="E35" s="211"/>
      <c r="F35" s="211"/>
      <c r="G35" s="211"/>
      <c r="H35" s="210">
        <f t="shared" si="0"/>
        <v>0</v>
      </c>
      <c r="J35" s="213">
        <f>SUMIF('EYSFF (Universal)'!A:A,'EYSFF (Additional)'!A35,'EYSFF (Universal)'!U:U)</f>
        <v>0</v>
      </c>
      <c r="K35" s="298">
        <f t="shared" si="1"/>
        <v>0</v>
      </c>
    </row>
    <row r="36" spans="1:11" x14ac:dyDescent="0.35">
      <c r="A36">
        <v>5204</v>
      </c>
      <c r="B36" s="94" t="s">
        <v>114</v>
      </c>
      <c r="C36" s="209" t="s">
        <v>280</v>
      </c>
      <c r="E36" s="211"/>
      <c r="F36" s="211"/>
      <c r="G36" s="211"/>
      <c r="H36" s="210">
        <f t="shared" si="0"/>
        <v>0</v>
      </c>
      <c r="J36" s="213">
        <f>SUMIF('EYSFF (Universal)'!A:A,'EYSFF (Additional)'!A36,'EYSFF (Universal)'!U:U)</f>
        <v>0</v>
      </c>
      <c r="K36" s="298">
        <f t="shared" si="1"/>
        <v>0</v>
      </c>
    </row>
    <row r="37" spans="1:11" x14ac:dyDescent="0.35">
      <c r="A37">
        <v>3302</v>
      </c>
      <c r="B37" s="94" t="s">
        <v>118</v>
      </c>
      <c r="C37" s="209" t="s">
        <v>280</v>
      </c>
      <c r="E37" s="211"/>
      <c r="F37" s="211"/>
      <c r="G37" s="211"/>
      <c r="H37" s="210">
        <f t="shared" si="0"/>
        <v>0</v>
      </c>
      <c r="J37" s="213">
        <f>SUMIF('EYSFF (Universal)'!A:A,'EYSFF (Additional)'!A37,'EYSFF (Universal)'!U:U)</f>
        <v>0</v>
      </c>
      <c r="K37" s="298">
        <f t="shared" si="1"/>
        <v>0</v>
      </c>
    </row>
    <row r="38" spans="1:11" x14ac:dyDescent="0.35">
      <c r="A38">
        <v>2027</v>
      </c>
      <c r="B38" s="94" t="s">
        <v>120</v>
      </c>
      <c r="C38" s="209" t="s">
        <v>280</v>
      </c>
      <c r="E38" s="211"/>
      <c r="F38" s="211"/>
      <c r="G38" s="211"/>
      <c r="H38" s="210">
        <f t="shared" si="0"/>
        <v>0</v>
      </c>
      <c r="J38" s="213">
        <f>SUMIF('EYSFF (Universal)'!A:A,'EYSFF (Additional)'!A38,'EYSFF (Universal)'!U:U)</f>
        <v>0</v>
      </c>
      <c r="K38" s="298">
        <f t="shared" si="1"/>
        <v>0</v>
      </c>
    </row>
    <row r="39" spans="1:11" x14ac:dyDescent="0.35">
      <c r="A39">
        <v>2033</v>
      </c>
      <c r="B39" s="94" t="s">
        <v>122</v>
      </c>
      <c r="C39" s="209" t="s">
        <v>280</v>
      </c>
      <c r="E39" s="211"/>
      <c r="F39" s="211"/>
      <c r="G39" s="211"/>
      <c r="H39" s="210">
        <f t="shared" si="0"/>
        <v>0</v>
      </c>
      <c r="J39" s="213">
        <f>SUMIF('EYSFF (Universal)'!A:A,'EYSFF (Additional)'!A39,'EYSFF (Universal)'!U:U)</f>
        <v>0</v>
      </c>
      <c r="K39" s="298">
        <f t="shared" si="1"/>
        <v>0</v>
      </c>
    </row>
    <row r="40" spans="1:11" x14ac:dyDescent="0.35">
      <c r="A40">
        <v>2028</v>
      </c>
      <c r="B40" s="94" t="s">
        <v>126</v>
      </c>
      <c r="C40" s="209" t="s">
        <v>280</v>
      </c>
      <c r="E40" s="211"/>
      <c r="F40" s="211"/>
      <c r="G40" s="211"/>
      <c r="H40" s="210">
        <f t="shared" si="0"/>
        <v>0</v>
      </c>
      <c r="J40" s="213">
        <f>SUMIF('EYSFF (Universal)'!A:A,'EYSFF (Additional)'!A40,'EYSFF (Universal)'!U:U)</f>
        <v>0</v>
      </c>
      <c r="K40" s="298">
        <f t="shared" si="1"/>
        <v>0</v>
      </c>
    </row>
    <row r="41" spans="1:11" x14ac:dyDescent="0.35">
      <c r="A41">
        <v>2017</v>
      </c>
      <c r="B41" s="94" t="s">
        <v>127</v>
      </c>
      <c r="C41" s="209" t="s">
        <v>280</v>
      </c>
      <c r="E41" s="211"/>
      <c r="F41" s="211"/>
      <c r="G41" s="211"/>
      <c r="H41" s="210">
        <f t="shared" si="0"/>
        <v>0</v>
      </c>
      <c r="J41" s="213">
        <f>SUMIF('EYSFF (Universal)'!A:A,'EYSFF (Additional)'!A41,'EYSFF (Universal)'!U:U)</f>
        <v>0</v>
      </c>
      <c r="K41" s="298">
        <f t="shared" si="1"/>
        <v>0</v>
      </c>
    </row>
    <row r="42" spans="1:11" x14ac:dyDescent="0.35">
      <c r="A42">
        <v>2037</v>
      </c>
      <c r="B42" s="94" t="s">
        <v>129</v>
      </c>
      <c r="C42" s="209" t="s">
        <v>280</v>
      </c>
      <c r="E42" s="211"/>
      <c r="F42" s="211"/>
      <c r="G42" s="211"/>
      <c r="H42" s="210">
        <f t="shared" si="0"/>
        <v>0</v>
      </c>
      <c r="J42" s="213">
        <f>SUMIF('EYSFF (Universal)'!A:A,'EYSFF (Additional)'!A42,'EYSFF (Universal)'!U:U)</f>
        <v>0</v>
      </c>
      <c r="K42" s="298">
        <f t="shared" si="1"/>
        <v>0</v>
      </c>
    </row>
    <row r="43" spans="1:11" x14ac:dyDescent="0.35">
      <c r="A43">
        <v>2039</v>
      </c>
      <c r="B43" s="94" t="s">
        <v>135</v>
      </c>
      <c r="C43" s="209" t="s">
        <v>280</v>
      </c>
      <c r="E43" s="211"/>
      <c r="F43" s="211"/>
      <c r="G43" s="211"/>
      <c r="H43" s="210">
        <f t="shared" si="0"/>
        <v>0</v>
      </c>
      <c r="J43" s="213">
        <f>SUMIF('EYSFF (Universal)'!A:A,'EYSFF (Additional)'!A43,'EYSFF (Universal)'!U:U)</f>
        <v>0</v>
      </c>
      <c r="K43" s="298">
        <f t="shared" si="1"/>
        <v>0</v>
      </c>
    </row>
    <row r="44" spans="1:11" x14ac:dyDescent="0.35">
      <c r="A44">
        <v>5200</v>
      </c>
      <c r="B44" s="94" t="s">
        <v>139</v>
      </c>
      <c r="C44" s="209" t="s">
        <v>280</v>
      </c>
      <c r="E44" s="211"/>
      <c r="F44" s="211"/>
      <c r="G44" s="211"/>
      <c r="H44" s="210">
        <f t="shared" si="0"/>
        <v>0</v>
      </c>
      <c r="J44" s="213">
        <f>SUMIF('EYSFF (Universal)'!A:A,'EYSFF (Additional)'!A44,'EYSFF (Universal)'!U:U)</f>
        <v>0</v>
      </c>
      <c r="K44" s="298">
        <f t="shared" si="1"/>
        <v>0</v>
      </c>
    </row>
    <row r="45" spans="1:11" x14ac:dyDescent="0.35">
      <c r="A45">
        <v>2040</v>
      </c>
      <c r="B45" s="94" t="s">
        <v>271</v>
      </c>
      <c r="C45" s="209" t="s">
        <v>280</v>
      </c>
      <c r="E45" s="211"/>
      <c r="F45" s="211"/>
      <c r="G45" s="211"/>
      <c r="H45" s="210">
        <f t="shared" si="0"/>
        <v>0</v>
      </c>
      <c r="J45" s="213">
        <f>SUMIF('EYSFF (Universal)'!A:A,'EYSFF (Additional)'!A45,'EYSFF (Universal)'!U:U)</f>
        <v>0</v>
      </c>
      <c r="K45" s="298">
        <f t="shared" si="1"/>
        <v>0</v>
      </c>
    </row>
    <row r="46" spans="1:11" x14ac:dyDescent="0.35">
      <c r="A46">
        <v>2064</v>
      </c>
      <c r="B46" s="94" t="s">
        <v>152</v>
      </c>
      <c r="C46" s="209" t="s">
        <v>280</v>
      </c>
      <c r="E46" s="211"/>
      <c r="F46" s="211"/>
      <c r="G46" s="211"/>
      <c r="H46" s="210">
        <f t="shared" si="0"/>
        <v>0</v>
      </c>
      <c r="J46" s="213">
        <f>SUMIF('EYSFF (Universal)'!A:A,'EYSFF (Additional)'!A46,'EYSFF (Universal)'!U:U)</f>
        <v>0</v>
      </c>
      <c r="K46" s="298">
        <f t="shared" si="1"/>
        <v>0</v>
      </c>
    </row>
    <row r="47" spans="1:11" x14ac:dyDescent="0.35">
      <c r="A47">
        <v>2045</v>
      </c>
      <c r="B47" s="94" t="s">
        <v>157</v>
      </c>
      <c r="C47" s="209" t="s">
        <v>280</v>
      </c>
      <c r="E47" s="211"/>
      <c r="F47" s="211"/>
      <c r="G47" s="211"/>
      <c r="H47" s="210">
        <f t="shared" si="0"/>
        <v>0</v>
      </c>
      <c r="J47" s="213">
        <f>SUMIF('EYSFF (Universal)'!A:A,'EYSFF (Additional)'!A47,'EYSFF (Universal)'!U:U)</f>
        <v>0</v>
      </c>
      <c r="K47" s="298">
        <f t="shared" si="1"/>
        <v>0</v>
      </c>
    </row>
    <row r="48" spans="1:11" x14ac:dyDescent="0.35">
      <c r="A48">
        <v>2080</v>
      </c>
      <c r="B48" s="94" t="s">
        <v>159</v>
      </c>
      <c r="C48" s="209" t="s">
        <v>280</v>
      </c>
      <c r="E48" s="211"/>
      <c r="F48" s="211"/>
      <c r="G48" s="211"/>
      <c r="H48" s="210">
        <f t="shared" si="0"/>
        <v>0</v>
      </c>
      <c r="J48" s="213">
        <f>SUMIF('EYSFF (Universal)'!A:A,'EYSFF (Additional)'!A48,'EYSFF (Universal)'!U:U)</f>
        <v>0</v>
      </c>
      <c r="K48" s="298">
        <f t="shared" si="1"/>
        <v>0</v>
      </c>
    </row>
    <row r="49" spans="1:11" x14ac:dyDescent="0.35">
      <c r="A49">
        <v>2048</v>
      </c>
      <c r="B49" s="94" t="s">
        <v>164</v>
      </c>
      <c r="C49" s="209" t="s">
        <v>280</v>
      </c>
      <c r="E49" s="211"/>
      <c r="F49" s="211"/>
      <c r="G49" s="211"/>
      <c r="H49" s="210">
        <f t="shared" si="0"/>
        <v>0</v>
      </c>
      <c r="J49" s="213">
        <f>SUMIF('EYSFF (Universal)'!A:A,'EYSFF (Additional)'!A49,'EYSFF (Universal)'!U:U)</f>
        <v>0</v>
      </c>
      <c r="K49" s="298">
        <f t="shared" si="1"/>
        <v>0</v>
      </c>
    </row>
    <row r="50" spans="1:11" x14ac:dyDescent="0.35">
      <c r="A50">
        <v>3405</v>
      </c>
      <c r="B50" s="94" t="s">
        <v>168</v>
      </c>
      <c r="C50" s="209" t="s">
        <v>280</v>
      </c>
      <c r="E50" s="211"/>
      <c r="F50" s="211"/>
      <c r="G50" s="211"/>
      <c r="H50" s="210">
        <f t="shared" si="0"/>
        <v>0</v>
      </c>
      <c r="J50" s="213">
        <f>SUMIF('EYSFF (Universal)'!A:A,'EYSFF (Additional)'!A50,'EYSFF (Universal)'!U:U)</f>
        <v>0</v>
      </c>
      <c r="K50" s="298">
        <f t="shared" si="1"/>
        <v>0</v>
      </c>
    </row>
    <row r="51" spans="1:11" x14ac:dyDescent="0.35">
      <c r="A51">
        <v>5208</v>
      </c>
      <c r="B51" s="94" t="s">
        <v>172</v>
      </c>
      <c r="C51" s="209" t="s">
        <v>280</v>
      </c>
      <c r="E51" s="211"/>
      <c r="F51" s="211"/>
      <c r="G51" s="211"/>
      <c r="H51" s="210">
        <f t="shared" si="0"/>
        <v>0</v>
      </c>
      <c r="J51" s="213">
        <f>SUMIF('EYSFF (Universal)'!A:A,'EYSFF (Additional)'!A51,'EYSFF (Universal)'!U:U)</f>
        <v>0</v>
      </c>
      <c r="K51" s="298">
        <f t="shared" si="1"/>
        <v>0</v>
      </c>
    </row>
    <row r="52" spans="1:11" x14ac:dyDescent="0.35">
      <c r="A52">
        <v>3402</v>
      </c>
      <c r="B52" s="94" t="s">
        <v>174</v>
      </c>
      <c r="C52" s="209" t="s">
        <v>280</v>
      </c>
      <c r="E52" s="211"/>
      <c r="F52" s="211"/>
      <c r="G52" s="211"/>
      <c r="H52" s="210">
        <f t="shared" si="0"/>
        <v>0</v>
      </c>
      <c r="J52" s="213">
        <f>SUMIF('EYSFF (Universal)'!A:A,'EYSFF (Additional)'!A52,'EYSFF (Universal)'!U:U)</f>
        <v>0</v>
      </c>
      <c r="K52" s="298">
        <f t="shared" si="1"/>
        <v>0</v>
      </c>
    </row>
    <row r="53" spans="1:11" x14ac:dyDescent="0.35">
      <c r="A53">
        <v>2035</v>
      </c>
      <c r="B53" s="94" t="s">
        <v>175</v>
      </c>
      <c r="C53" s="209" t="s">
        <v>280</v>
      </c>
      <c r="E53" s="211"/>
      <c r="F53" s="211"/>
      <c r="G53" s="211"/>
      <c r="H53" s="210">
        <f t="shared" si="0"/>
        <v>0</v>
      </c>
      <c r="J53" s="213">
        <f>SUMIF('EYSFF (Universal)'!A:A,'EYSFF (Additional)'!A53,'EYSFF (Universal)'!U:U)</f>
        <v>0</v>
      </c>
      <c r="K53" s="298">
        <f t="shared" si="1"/>
        <v>0</v>
      </c>
    </row>
    <row r="54" spans="1:11" x14ac:dyDescent="0.35">
      <c r="A54">
        <v>3404</v>
      </c>
      <c r="B54" s="94" t="s">
        <v>178</v>
      </c>
      <c r="C54" s="209" t="s">
        <v>280</v>
      </c>
      <c r="E54" s="211"/>
      <c r="F54" s="211"/>
      <c r="G54" s="211"/>
      <c r="H54" s="210">
        <f t="shared" si="0"/>
        <v>0</v>
      </c>
      <c r="J54" s="213">
        <f>SUMIF('EYSFF (Universal)'!A:A,'EYSFF (Additional)'!A54,'EYSFF (Universal)'!U:U)</f>
        <v>0</v>
      </c>
      <c r="K54" s="298">
        <f t="shared" si="1"/>
        <v>0</v>
      </c>
    </row>
    <row r="55" spans="1:11" x14ac:dyDescent="0.35">
      <c r="A55">
        <v>3306</v>
      </c>
      <c r="B55" s="94" t="s">
        <v>179</v>
      </c>
      <c r="C55" s="209" t="s">
        <v>280</v>
      </c>
      <c r="E55" s="211"/>
      <c r="F55" s="211"/>
      <c r="G55" s="211"/>
      <c r="H55" s="210">
        <f t="shared" si="0"/>
        <v>0</v>
      </c>
      <c r="J55" s="213">
        <f>SUMIF('EYSFF (Universal)'!A:A,'EYSFF (Additional)'!A55,'EYSFF (Universal)'!U:U)</f>
        <v>0</v>
      </c>
      <c r="K55" s="298">
        <f t="shared" si="1"/>
        <v>0</v>
      </c>
    </row>
    <row r="56" spans="1:11" x14ac:dyDescent="0.35">
      <c r="A56">
        <v>3400</v>
      </c>
      <c r="B56" s="94" t="s">
        <v>181</v>
      </c>
      <c r="C56" s="209" t="s">
        <v>280</v>
      </c>
      <c r="E56" s="211"/>
      <c r="F56" s="211"/>
      <c r="G56" s="211"/>
      <c r="H56" s="210">
        <f t="shared" si="0"/>
        <v>0</v>
      </c>
      <c r="J56" s="213">
        <f>SUMIF('EYSFF (Universal)'!A:A,'EYSFF (Additional)'!A56,'EYSFF (Universal)'!U:U)</f>
        <v>0</v>
      </c>
      <c r="K56" s="298">
        <f t="shared" si="1"/>
        <v>0</v>
      </c>
    </row>
    <row r="57" spans="1:11" x14ac:dyDescent="0.35">
      <c r="A57">
        <v>3403</v>
      </c>
      <c r="B57" s="94" t="s">
        <v>182</v>
      </c>
      <c r="C57" s="209" t="s">
        <v>280</v>
      </c>
      <c r="E57" s="211"/>
      <c r="F57" s="211"/>
      <c r="G57" s="211"/>
      <c r="H57" s="210">
        <f t="shared" si="0"/>
        <v>0</v>
      </c>
      <c r="J57" s="213">
        <f>SUMIF('EYSFF (Universal)'!A:A,'EYSFF (Additional)'!A57,'EYSFF (Universal)'!U:U)</f>
        <v>0</v>
      </c>
      <c r="K57" s="298">
        <f t="shared" si="1"/>
        <v>0</v>
      </c>
    </row>
    <row r="58" spans="1:11" x14ac:dyDescent="0.35">
      <c r="A58">
        <v>2004</v>
      </c>
      <c r="B58" s="94" t="s">
        <v>184</v>
      </c>
      <c r="C58" s="209" t="s">
        <v>280</v>
      </c>
      <c r="E58" s="211"/>
      <c r="F58" s="211"/>
      <c r="G58" s="211"/>
      <c r="H58" s="210">
        <f t="shared" si="0"/>
        <v>0</v>
      </c>
      <c r="J58" s="213">
        <f>SUMIF('EYSFF (Universal)'!A:A,'EYSFF (Additional)'!A58,'EYSFF (Universal)'!U:U)</f>
        <v>0</v>
      </c>
      <c r="K58" s="298">
        <f t="shared" si="1"/>
        <v>0</v>
      </c>
    </row>
    <row r="59" spans="1:11" x14ac:dyDescent="0.35">
      <c r="A59">
        <v>2065</v>
      </c>
      <c r="B59" s="94" t="s">
        <v>190</v>
      </c>
      <c r="C59" s="209" t="s">
        <v>280</v>
      </c>
      <c r="E59" s="211"/>
      <c r="F59" s="211"/>
      <c r="G59" s="211"/>
      <c r="H59" s="210">
        <f t="shared" si="0"/>
        <v>0</v>
      </c>
      <c r="J59" s="213">
        <f>SUMIF('EYSFF (Universal)'!A:A,'EYSFF (Additional)'!A59,'EYSFF (Universal)'!U:U)</f>
        <v>0</v>
      </c>
      <c r="K59" s="298">
        <f t="shared" si="1"/>
        <v>0</v>
      </c>
    </row>
    <row r="60" spans="1:11" x14ac:dyDescent="0.35">
      <c r="A60">
        <v>2051</v>
      </c>
      <c r="B60" s="94" t="s">
        <v>191</v>
      </c>
      <c r="C60" s="209" t="s">
        <v>280</v>
      </c>
      <c r="E60" s="211"/>
      <c r="F60" s="211"/>
      <c r="G60" s="211"/>
      <c r="H60" s="210">
        <f t="shared" si="0"/>
        <v>0</v>
      </c>
      <c r="J60" s="213">
        <f>SUMIF('EYSFF (Universal)'!A:A,'EYSFF (Additional)'!A60,'EYSFF (Universal)'!U:U)</f>
        <v>0</v>
      </c>
      <c r="K60" s="298">
        <f t="shared" si="1"/>
        <v>0</v>
      </c>
    </row>
    <row r="61" spans="1:11" x14ac:dyDescent="0.35">
      <c r="A61">
        <v>2069</v>
      </c>
      <c r="B61" s="94" t="s">
        <v>192</v>
      </c>
      <c r="C61" s="209" t="s">
        <v>280</v>
      </c>
      <c r="E61" s="211"/>
      <c r="F61" s="211"/>
      <c r="G61" s="211"/>
      <c r="H61" s="210">
        <f t="shared" si="0"/>
        <v>0</v>
      </c>
      <c r="J61" s="213">
        <f>SUMIF('EYSFF (Universal)'!A:A,'EYSFF (Additional)'!A61,'EYSFF (Universal)'!U:U)</f>
        <v>0</v>
      </c>
      <c r="K61" s="298">
        <f t="shared" si="1"/>
        <v>0</v>
      </c>
    </row>
    <row r="62" spans="1:11" x14ac:dyDescent="0.35">
      <c r="A62">
        <v>2074</v>
      </c>
      <c r="B62" s="94" t="s">
        <v>194</v>
      </c>
      <c r="C62" s="209" t="s">
        <v>280</v>
      </c>
      <c r="E62" s="211"/>
      <c r="F62" s="211"/>
      <c r="G62" s="211"/>
      <c r="H62" s="210">
        <f t="shared" si="0"/>
        <v>0</v>
      </c>
      <c r="J62" s="213">
        <f>SUMIF('EYSFF (Universal)'!A:A,'EYSFF (Additional)'!A62,'EYSFF (Universal)'!U:U)</f>
        <v>0</v>
      </c>
      <c r="K62" s="298">
        <f t="shared" si="1"/>
        <v>0</v>
      </c>
    </row>
    <row r="63" spans="1:11" x14ac:dyDescent="0.35">
      <c r="A63">
        <v>2049</v>
      </c>
      <c r="B63" s="94" t="s">
        <v>196</v>
      </c>
      <c r="C63" s="209" t="s">
        <v>280</v>
      </c>
      <c r="E63" s="211"/>
      <c r="F63" s="211"/>
      <c r="G63" s="211"/>
      <c r="H63" s="210">
        <f t="shared" si="0"/>
        <v>0</v>
      </c>
      <c r="J63" s="213">
        <f>SUMIF('EYSFF (Universal)'!A:A,'EYSFF (Additional)'!A63,'EYSFF (Universal)'!U:U)</f>
        <v>0</v>
      </c>
      <c r="K63" s="298">
        <f t="shared" si="1"/>
        <v>0</v>
      </c>
    </row>
    <row r="64" spans="1:11" x14ac:dyDescent="0.35">
      <c r="A64">
        <v>2082</v>
      </c>
      <c r="B64" s="94" t="s">
        <v>197</v>
      </c>
      <c r="C64" s="209" t="s">
        <v>280</v>
      </c>
      <c r="E64" s="211"/>
      <c r="F64" s="211"/>
      <c r="G64" s="211"/>
      <c r="H64" s="210">
        <f t="shared" si="0"/>
        <v>0</v>
      </c>
      <c r="J64" s="213">
        <f>SUMIF('EYSFF (Universal)'!A:A,'EYSFF (Additional)'!A64,'EYSFF (Universal)'!U:U)</f>
        <v>0</v>
      </c>
      <c r="K64" s="298">
        <f t="shared" si="1"/>
        <v>0</v>
      </c>
    </row>
    <row r="65" spans="1:11" x14ac:dyDescent="0.35">
      <c r="A65">
        <v>2060</v>
      </c>
      <c r="B65" s="94" t="s">
        <v>198</v>
      </c>
      <c r="C65" s="209" t="s">
        <v>280</v>
      </c>
      <c r="E65" s="211"/>
      <c r="F65" s="211"/>
      <c r="G65" s="211"/>
      <c r="H65" s="210">
        <f>SUM(E65:G65)</f>
        <v>0</v>
      </c>
      <c r="J65" s="213">
        <f>SUMIF('EYSFF (Universal)'!A:A,'EYSFF (Additional)'!A65,'EYSFF (Universal)'!U:U)</f>
        <v>0</v>
      </c>
      <c r="K65" s="298">
        <f>J65*H65</f>
        <v>0</v>
      </c>
    </row>
    <row r="66" spans="1:11" x14ac:dyDescent="0.35">
      <c r="E66" s="259"/>
      <c r="F66" s="181"/>
      <c r="G66"/>
      <c r="H66" s="212"/>
      <c r="J66" s="296"/>
      <c r="K66" s="298"/>
    </row>
    <row r="67" spans="1:11" x14ac:dyDescent="0.35">
      <c r="E67" s="90">
        <f t="shared" ref="E67:F67" si="2">SUM(E9:E65)</f>
        <v>0</v>
      </c>
      <c r="F67" s="90">
        <f t="shared" si="2"/>
        <v>0</v>
      </c>
      <c r="G67" s="293">
        <f>SUM(G9:G65)</f>
        <v>0</v>
      </c>
      <c r="H67" s="90">
        <f>SUM(H9:H65)</f>
        <v>0</v>
      </c>
      <c r="J67" s="296"/>
      <c r="K67" s="298">
        <f>SUM(K9:K66)</f>
        <v>0</v>
      </c>
    </row>
    <row r="68" spans="1:11" x14ac:dyDescent="0.35">
      <c r="E68" s="260"/>
      <c r="F68" s="80"/>
      <c r="G68" s="294"/>
      <c r="H68" s="295"/>
      <c r="J68" s="297"/>
      <c r="K68" s="299"/>
    </row>
    <row r="69" spans="1:11" x14ac:dyDescent="0.35">
      <c r="K69" s="300"/>
    </row>
    <row r="70" spans="1:11" x14ac:dyDescent="0.35">
      <c r="K70" s="300">
        <f>'EYSFF (Universal)'!V65</f>
        <v>0</v>
      </c>
    </row>
    <row r="71" spans="1:11" x14ac:dyDescent="0.35">
      <c r="K71" s="300"/>
    </row>
    <row r="72" spans="1:11" x14ac:dyDescent="0.35">
      <c r="K72" s="300">
        <f>K70+K67</f>
        <v>0</v>
      </c>
    </row>
  </sheetData>
  <autoFilter ref="A8:L8" xr:uid="{00000000-0009-0000-0000-000005000000}"/>
  <mergeCells count="1">
    <mergeCell ref="E5:H5"/>
  </mergeCells>
  <pageMargins left="0.59055118110236227" right="0.39370078740157483" top="0.98425196850393704" bottom="0.98425196850393704" header="0.51181102362204722" footer="0.51181102362204722"/>
  <pageSetup paperSize="8" fitToHeight="2" orientation="landscape" r:id="rId1"/>
  <headerFooter alignWithMargins="0">
    <oddFooter>&amp;L&amp;D&amp;C&amp;F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Q59"/>
  <sheetViews>
    <sheetView workbookViewId="0">
      <selection activeCell="C3" sqref="C3"/>
    </sheetView>
  </sheetViews>
  <sheetFormatPr defaultColWidth="9.1796875" defaultRowHeight="12.5" x14ac:dyDescent="0.25"/>
  <cols>
    <col min="1" max="1" width="15.54296875" style="48" bestFit="1" customWidth="1"/>
    <col min="2" max="2" width="35.7265625" style="48" bestFit="1" customWidth="1"/>
    <col min="3" max="5" width="15.453125" style="143" customWidth="1"/>
    <col min="6" max="6" width="12.26953125" style="143" bestFit="1" customWidth="1"/>
    <col min="7" max="15" width="9.1796875" style="48"/>
    <col min="16" max="16" width="56" style="48" hidden="1" customWidth="1"/>
    <col min="17" max="17" width="9.26953125" style="48" hidden="1" customWidth="1"/>
    <col min="18" max="16384" width="9.1796875" style="48"/>
  </cols>
  <sheetData>
    <row r="1" spans="1:17" ht="13" x14ac:dyDescent="0.3">
      <c r="A1" s="142" t="s">
        <v>353</v>
      </c>
    </row>
    <row r="2" spans="1:17" ht="13" thickBot="1" x14ac:dyDescent="0.3"/>
    <row r="3" spans="1:17" ht="13.5" thickBot="1" x14ac:dyDescent="0.35">
      <c r="A3" s="3" t="s">
        <v>33</v>
      </c>
      <c r="B3" s="7" t="s">
        <v>42</v>
      </c>
      <c r="P3" s="48" t="s">
        <v>42</v>
      </c>
      <c r="Q3" s="48">
        <v>2001</v>
      </c>
    </row>
    <row r="4" spans="1:17" ht="13.5" thickBot="1" x14ac:dyDescent="0.35">
      <c r="A4" s="3" t="s">
        <v>35</v>
      </c>
      <c r="B4" s="6">
        <f>VLOOKUP(B3,P:Q,2,0)</f>
        <v>2001</v>
      </c>
      <c r="P4" s="48" t="s">
        <v>47</v>
      </c>
      <c r="Q4" s="48">
        <v>3401</v>
      </c>
    </row>
    <row r="5" spans="1:17" ht="13" thickBot="1" x14ac:dyDescent="0.3">
      <c r="P5" s="48" t="s">
        <v>49</v>
      </c>
      <c r="Q5" s="48">
        <v>2003</v>
      </c>
    </row>
    <row r="6" spans="1:17" s="3" customFormat="1" ht="13" x14ac:dyDescent="0.3">
      <c r="A6" s="151"/>
      <c r="B6" s="158" t="s">
        <v>273</v>
      </c>
      <c r="C6" s="443" t="s">
        <v>354</v>
      </c>
      <c r="D6" s="443"/>
      <c r="E6" s="443"/>
      <c r="F6" s="159"/>
      <c r="P6" s="3" t="s">
        <v>50</v>
      </c>
      <c r="Q6" s="3">
        <v>2002</v>
      </c>
    </row>
    <row r="7" spans="1:17" ht="13.5" thickBot="1" x14ac:dyDescent="0.35">
      <c r="B7" s="172"/>
      <c r="C7" s="173" t="s">
        <v>355</v>
      </c>
      <c r="D7" s="174" t="s">
        <v>356</v>
      </c>
      <c r="E7" s="174" t="s">
        <v>357</v>
      </c>
      <c r="F7" s="175" t="s">
        <v>110</v>
      </c>
      <c r="P7" s="48" t="s">
        <v>52</v>
      </c>
      <c r="Q7" s="48">
        <v>3300</v>
      </c>
    </row>
    <row r="8" spans="1:17" ht="13" x14ac:dyDescent="0.3">
      <c r="B8" s="158" t="s">
        <v>358</v>
      </c>
      <c r="C8" s="176">
        <f>VLOOKUP(B4,'EYSFF (Universal)'!$A$6:$H$54,5,0)</f>
        <v>0</v>
      </c>
      <c r="D8" s="176">
        <f>VLOOKUP(B4,'EYSFF (Universal)'!$A$6:$H$54,6,0)</f>
        <v>0</v>
      </c>
      <c r="E8" s="176">
        <f>VLOOKUP(B4,'EYSFF (Universal)'!$A$6:$H$54,7,0)</f>
        <v>0</v>
      </c>
      <c r="F8" s="177">
        <f>SUM(C8:E8)</f>
        <v>0</v>
      </c>
      <c r="P8" s="48" t="s">
        <v>54</v>
      </c>
      <c r="Q8" s="48">
        <v>5206</v>
      </c>
    </row>
    <row r="9" spans="1:17" ht="13" x14ac:dyDescent="0.3">
      <c r="B9" s="161" t="s">
        <v>359</v>
      </c>
      <c r="C9" s="147">
        <f>C8/195</f>
        <v>0</v>
      </c>
      <c r="D9" s="152">
        <f>D8/195</f>
        <v>0</v>
      </c>
      <c r="E9" s="152">
        <f>E8/180</f>
        <v>0</v>
      </c>
      <c r="F9" s="160"/>
      <c r="P9" s="48" t="s">
        <v>56</v>
      </c>
      <c r="Q9" s="48">
        <v>2084</v>
      </c>
    </row>
    <row r="10" spans="1:17" ht="13" x14ac:dyDescent="0.3">
      <c r="B10" s="161" t="s">
        <v>292</v>
      </c>
      <c r="C10" s="148">
        <f>VLOOKUP(B4,'EYSFF (Universal)'!$A$6:$U$54,21,0)</f>
        <v>0</v>
      </c>
      <c r="D10" s="148">
        <f>C10</f>
        <v>0</v>
      </c>
      <c r="E10" s="148">
        <f>C10</f>
        <v>0</v>
      </c>
      <c r="F10" s="160"/>
      <c r="P10" s="48" t="s">
        <v>58</v>
      </c>
      <c r="Q10" s="48">
        <v>2010</v>
      </c>
    </row>
    <row r="11" spans="1:17" ht="13" x14ac:dyDescent="0.3">
      <c r="B11" s="161"/>
      <c r="C11" s="146"/>
      <c r="D11" s="145"/>
      <c r="E11" s="145"/>
      <c r="F11" s="160"/>
      <c r="P11" s="48" t="s">
        <v>60</v>
      </c>
      <c r="Q11" s="48">
        <v>2012</v>
      </c>
    </row>
    <row r="12" spans="1:17" ht="13" x14ac:dyDescent="0.3">
      <c r="B12" s="161" t="s">
        <v>420</v>
      </c>
      <c r="C12" s="171">
        <f>C8*C10</f>
        <v>0</v>
      </c>
      <c r="D12" s="169">
        <f t="shared" ref="D12:E12" si="0">D8*D10</f>
        <v>0</v>
      </c>
      <c r="E12" s="169">
        <f t="shared" si="0"/>
        <v>0</v>
      </c>
      <c r="F12" s="170">
        <f>SUM(C12:E12)</f>
        <v>0</v>
      </c>
      <c r="P12" s="48" t="s">
        <v>64</v>
      </c>
      <c r="Q12" s="48">
        <v>3410</v>
      </c>
    </row>
    <row r="13" spans="1:17" ht="13.5" thickBot="1" x14ac:dyDescent="0.35">
      <c r="B13" s="161"/>
      <c r="C13" s="153"/>
      <c r="D13" s="156"/>
      <c r="E13" s="156"/>
      <c r="F13" s="160"/>
      <c r="P13" s="48" t="s">
        <v>66</v>
      </c>
      <c r="Q13" s="48">
        <v>2078</v>
      </c>
    </row>
    <row r="14" spans="1:17" ht="13.5" thickBot="1" x14ac:dyDescent="0.35">
      <c r="B14" s="163" t="s">
        <v>361</v>
      </c>
      <c r="C14" s="155"/>
      <c r="D14" s="157"/>
      <c r="E14" s="157"/>
      <c r="F14" s="164"/>
      <c r="P14" s="48" t="s">
        <v>72</v>
      </c>
      <c r="Q14" s="48">
        <v>3307</v>
      </c>
    </row>
    <row r="15" spans="1:17" ht="13" x14ac:dyDescent="0.3">
      <c r="B15" s="161" t="s">
        <v>362</v>
      </c>
      <c r="C15" s="154">
        <f>C14*15*13</f>
        <v>0</v>
      </c>
      <c r="D15" s="154">
        <f t="shared" ref="D15" si="1">D14*15*13</f>
        <v>0</v>
      </c>
      <c r="E15" s="154">
        <f>E14*15*12</f>
        <v>0</v>
      </c>
      <c r="F15" s="162">
        <f>SUM(C15:E15)</f>
        <v>0</v>
      </c>
      <c r="P15" s="25" t="s">
        <v>74</v>
      </c>
      <c r="Q15" s="48">
        <v>2019</v>
      </c>
    </row>
    <row r="16" spans="1:17" ht="13" x14ac:dyDescent="0.3">
      <c r="B16" s="161" t="s">
        <v>292</v>
      </c>
      <c r="C16" s="148">
        <f>C10</f>
        <v>0</v>
      </c>
      <c r="D16" s="149">
        <f>C10</f>
        <v>0</v>
      </c>
      <c r="E16" s="149">
        <f>C10</f>
        <v>0</v>
      </c>
      <c r="F16" s="160"/>
      <c r="P16" s="48" t="s">
        <v>76</v>
      </c>
      <c r="Q16" s="48">
        <v>2018</v>
      </c>
    </row>
    <row r="17" spans="2:17" ht="13" x14ac:dyDescent="0.3">
      <c r="B17" s="161"/>
      <c r="C17" s="146"/>
      <c r="D17" s="145"/>
      <c r="E17" s="145"/>
      <c r="F17" s="160"/>
      <c r="P17" s="48" t="s">
        <v>78</v>
      </c>
      <c r="Q17" s="48">
        <v>2076</v>
      </c>
    </row>
    <row r="18" spans="2:17" ht="13" x14ac:dyDescent="0.3">
      <c r="B18" s="161" t="s">
        <v>363</v>
      </c>
      <c r="C18" s="171">
        <f>C15*C16</f>
        <v>0</v>
      </c>
      <c r="D18" s="171">
        <f t="shared" ref="D18:E18" si="2">D15*D16</f>
        <v>0</v>
      </c>
      <c r="E18" s="171">
        <f t="shared" si="2"/>
        <v>0</v>
      </c>
      <c r="F18" s="170">
        <f>SUM(C18:E18)</f>
        <v>0</v>
      </c>
      <c r="P18" s="48" t="s">
        <v>80</v>
      </c>
      <c r="Q18" s="48">
        <v>2020</v>
      </c>
    </row>
    <row r="19" spans="2:17" ht="13" x14ac:dyDescent="0.3">
      <c r="B19" s="161"/>
      <c r="C19" s="150"/>
      <c r="D19" s="150"/>
      <c r="E19" s="150"/>
      <c r="F19" s="165"/>
      <c r="P19" s="25" t="s">
        <v>82</v>
      </c>
      <c r="Q19" s="48">
        <v>5203</v>
      </c>
    </row>
    <row r="20" spans="2:17" ht="13.5" thickBot="1" x14ac:dyDescent="0.35">
      <c r="B20" s="166" t="s">
        <v>364</v>
      </c>
      <c r="C20" s="178">
        <f>C18-C12</f>
        <v>0</v>
      </c>
      <c r="D20" s="167">
        <f>D18-D12</f>
        <v>0</v>
      </c>
      <c r="E20" s="167">
        <f>E18-E12</f>
        <v>0</v>
      </c>
      <c r="F20" s="168">
        <f>F18-F12</f>
        <v>0</v>
      </c>
      <c r="P20" s="48" t="s">
        <v>89</v>
      </c>
      <c r="Q20" s="48">
        <v>2024</v>
      </c>
    </row>
    <row r="21" spans="2:17" ht="13" x14ac:dyDescent="0.3">
      <c r="C21" s="144"/>
      <c r="P21" s="48" t="s">
        <v>94</v>
      </c>
      <c r="Q21" s="48">
        <v>2025</v>
      </c>
    </row>
    <row r="22" spans="2:17" x14ac:dyDescent="0.25">
      <c r="P22" s="48" t="s">
        <v>96</v>
      </c>
      <c r="Q22" s="48">
        <v>2026</v>
      </c>
    </row>
    <row r="23" spans="2:17" ht="13" thickBot="1" x14ac:dyDescent="0.3">
      <c r="P23" s="48" t="s">
        <v>100</v>
      </c>
      <c r="Q23" s="48">
        <v>5211</v>
      </c>
    </row>
    <row r="24" spans="2:17" ht="13" x14ac:dyDescent="0.3">
      <c r="B24" s="158" t="s">
        <v>274</v>
      </c>
      <c r="C24" s="443" t="s">
        <v>354</v>
      </c>
      <c r="D24" s="443"/>
      <c r="E24" s="443"/>
      <c r="F24" s="159"/>
      <c r="P24" s="48" t="s">
        <v>104</v>
      </c>
      <c r="Q24" s="48">
        <v>2029</v>
      </c>
    </row>
    <row r="25" spans="2:17" ht="13.5" thickBot="1" x14ac:dyDescent="0.35">
      <c r="B25" s="172"/>
      <c r="C25" s="173" t="s">
        <v>355</v>
      </c>
      <c r="D25" s="174" t="s">
        <v>356</v>
      </c>
      <c r="E25" s="174" t="s">
        <v>357</v>
      </c>
      <c r="F25" s="175" t="s">
        <v>110</v>
      </c>
      <c r="P25" s="48" t="s">
        <v>106</v>
      </c>
      <c r="Q25" s="48">
        <v>2061</v>
      </c>
    </row>
    <row r="26" spans="2:17" ht="13" x14ac:dyDescent="0.3">
      <c r="B26" s="158" t="s">
        <v>358</v>
      </c>
      <c r="C26" s="176">
        <f>VLOOKUP(B4,'EYSFF (Additional)'!$A$9:$K$41,5,0)</f>
        <v>0</v>
      </c>
      <c r="D26" s="176">
        <f>VLOOKUP(B4,'EYSFF (Additional)'!$A$9:$K$41,6,0)</f>
        <v>0</v>
      </c>
      <c r="E26" s="176">
        <f>VLOOKUP(B4,'EYSFF (Additional)'!$A$9:$K$41,7,0)</f>
        <v>0</v>
      </c>
      <c r="F26" s="177">
        <f>SUM(C26:E26)</f>
        <v>0</v>
      </c>
      <c r="P26" s="48" t="s">
        <v>109</v>
      </c>
      <c r="Q26" s="48">
        <v>2021</v>
      </c>
    </row>
    <row r="27" spans="2:17" ht="13" x14ac:dyDescent="0.3">
      <c r="B27" s="161" t="s">
        <v>359</v>
      </c>
      <c r="C27" s="147">
        <f>C26/195</f>
        <v>0</v>
      </c>
      <c r="D27" s="152">
        <f>D26/195</f>
        <v>0</v>
      </c>
      <c r="E27" s="152">
        <f>E26/180</f>
        <v>0</v>
      </c>
      <c r="F27" s="160"/>
      <c r="P27" s="48" t="s">
        <v>111</v>
      </c>
      <c r="Q27" s="48">
        <v>2063</v>
      </c>
    </row>
    <row r="28" spans="2:17" ht="13" x14ac:dyDescent="0.3">
      <c r="B28" s="161" t="s">
        <v>292</v>
      </c>
      <c r="C28" s="148">
        <f>C10</f>
        <v>0</v>
      </c>
      <c r="D28" s="148">
        <f>C28</f>
        <v>0</v>
      </c>
      <c r="E28" s="148">
        <f>C28</f>
        <v>0</v>
      </c>
      <c r="F28" s="160"/>
      <c r="P28" s="48" t="s">
        <v>112</v>
      </c>
      <c r="Q28" s="48">
        <v>2081</v>
      </c>
    </row>
    <row r="29" spans="2:17" ht="13" x14ac:dyDescent="0.3">
      <c r="B29" s="161"/>
      <c r="C29" s="146"/>
      <c r="D29" s="145"/>
      <c r="E29" s="145"/>
      <c r="F29" s="160"/>
      <c r="P29" s="48" t="s">
        <v>114</v>
      </c>
      <c r="Q29" s="48">
        <v>5204</v>
      </c>
    </row>
    <row r="30" spans="2:17" ht="13" x14ac:dyDescent="0.3">
      <c r="B30" s="161" t="s">
        <v>420</v>
      </c>
      <c r="C30" s="171">
        <f>C26*C28</f>
        <v>0</v>
      </c>
      <c r="D30" s="169">
        <f t="shared" ref="D30:E30" si="3">D26*D28</f>
        <v>0</v>
      </c>
      <c r="E30" s="169">
        <f t="shared" si="3"/>
        <v>0</v>
      </c>
      <c r="F30" s="170">
        <f>SUM(C30:E30)</f>
        <v>0</v>
      </c>
      <c r="P30" s="48" t="s">
        <v>118</v>
      </c>
      <c r="Q30" s="48">
        <v>3302</v>
      </c>
    </row>
    <row r="31" spans="2:17" ht="13.5" thickBot="1" x14ac:dyDescent="0.35">
      <c r="B31" s="161"/>
      <c r="C31" s="153"/>
      <c r="D31" s="156"/>
      <c r="E31" s="156"/>
      <c r="F31" s="160"/>
      <c r="P31" s="48" t="s">
        <v>120</v>
      </c>
      <c r="Q31" s="48">
        <v>2027</v>
      </c>
    </row>
    <row r="32" spans="2:17" ht="13.5" thickBot="1" x14ac:dyDescent="0.35">
      <c r="B32" s="163" t="s">
        <v>361</v>
      </c>
      <c r="C32" s="155"/>
      <c r="D32" s="157"/>
      <c r="E32" s="157"/>
      <c r="F32" s="164"/>
      <c r="P32" s="48" t="s">
        <v>122</v>
      </c>
      <c r="Q32" s="48">
        <v>2033</v>
      </c>
    </row>
    <row r="33" spans="2:17" ht="13" x14ac:dyDescent="0.3">
      <c r="B33" s="161" t="s">
        <v>362</v>
      </c>
      <c r="C33" s="154">
        <f>C32*15*13</f>
        <v>0</v>
      </c>
      <c r="D33" s="154">
        <f t="shared" ref="D33" si="4">D32*15*13</f>
        <v>0</v>
      </c>
      <c r="E33" s="154">
        <f>E32*15*12</f>
        <v>0</v>
      </c>
      <c r="F33" s="162">
        <f>SUM(C33:E33)</f>
        <v>0</v>
      </c>
      <c r="P33" s="48" t="s">
        <v>126</v>
      </c>
      <c r="Q33" s="48">
        <v>2028</v>
      </c>
    </row>
    <row r="34" spans="2:17" ht="13" x14ac:dyDescent="0.3">
      <c r="B34" s="161" t="s">
        <v>292</v>
      </c>
      <c r="C34" s="148">
        <f>C28</f>
        <v>0</v>
      </c>
      <c r="D34" s="149">
        <f>C28</f>
        <v>0</v>
      </c>
      <c r="E34" s="149">
        <f>C28</f>
        <v>0</v>
      </c>
      <c r="F34" s="160"/>
      <c r="P34" s="48" t="s">
        <v>127</v>
      </c>
      <c r="Q34" s="48">
        <v>2017</v>
      </c>
    </row>
    <row r="35" spans="2:17" ht="13" x14ac:dyDescent="0.3">
      <c r="B35" s="161"/>
      <c r="C35" s="146"/>
      <c r="D35" s="145"/>
      <c r="E35" s="145"/>
      <c r="F35" s="160"/>
      <c r="P35" s="48" t="s">
        <v>365</v>
      </c>
      <c r="Q35" s="48">
        <v>1000</v>
      </c>
    </row>
    <row r="36" spans="2:17" ht="13" x14ac:dyDescent="0.3">
      <c r="B36" s="161" t="s">
        <v>363</v>
      </c>
      <c r="C36" s="171">
        <f>C33*C34</f>
        <v>0</v>
      </c>
      <c r="D36" s="171">
        <f t="shared" ref="D36:E36" si="5">D33*D34</f>
        <v>0</v>
      </c>
      <c r="E36" s="171">
        <f t="shared" si="5"/>
        <v>0</v>
      </c>
      <c r="F36" s="170">
        <f>SUM(C36:E36)</f>
        <v>0</v>
      </c>
      <c r="P36" s="48" t="s">
        <v>129</v>
      </c>
      <c r="Q36" s="48">
        <v>2037</v>
      </c>
    </row>
    <row r="37" spans="2:17" ht="13" x14ac:dyDescent="0.3">
      <c r="B37" s="161"/>
      <c r="C37" s="150"/>
      <c r="D37" s="150"/>
      <c r="E37" s="150"/>
      <c r="F37" s="165"/>
      <c r="P37" s="48" t="s">
        <v>135</v>
      </c>
      <c r="Q37" s="48">
        <v>2039</v>
      </c>
    </row>
    <row r="38" spans="2:17" ht="13.5" thickBot="1" x14ac:dyDescent="0.35">
      <c r="B38" s="166" t="s">
        <v>364</v>
      </c>
      <c r="C38" s="178">
        <f>C36-C30</f>
        <v>0</v>
      </c>
      <c r="D38" s="167">
        <f>D36-D30</f>
        <v>0</v>
      </c>
      <c r="E38" s="167">
        <f>E36-E30</f>
        <v>0</v>
      </c>
      <c r="F38" s="168">
        <f>F36-F30</f>
        <v>0</v>
      </c>
      <c r="P38" s="48" t="s">
        <v>139</v>
      </c>
      <c r="Q38" s="48">
        <v>5200</v>
      </c>
    </row>
    <row r="39" spans="2:17" x14ac:dyDescent="0.25">
      <c r="P39" s="48" t="s">
        <v>150</v>
      </c>
      <c r="Q39" s="48">
        <v>2040</v>
      </c>
    </row>
    <row r="40" spans="2:17" x14ac:dyDescent="0.25">
      <c r="P40" s="48" t="s">
        <v>152</v>
      </c>
      <c r="Q40" s="48">
        <v>2064</v>
      </c>
    </row>
    <row r="41" spans="2:17" ht="13" x14ac:dyDescent="0.3">
      <c r="B41" s="46" t="s">
        <v>366</v>
      </c>
      <c r="P41" s="48" t="s">
        <v>157</v>
      </c>
      <c r="Q41" s="48">
        <v>2045</v>
      </c>
    </row>
    <row r="42" spans="2:17" x14ac:dyDescent="0.25">
      <c r="P42" s="48" t="s">
        <v>159</v>
      </c>
      <c r="Q42" s="48">
        <v>2080</v>
      </c>
    </row>
    <row r="43" spans="2:17" x14ac:dyDescent="0.25">
      <c r="B43" s="48" t="s">
        <v>367</v>
      </c>
      <c r="P43" s="48" t="s">
        <v>164</v>
      </c>
      <c r="Q43" s="48">
        <v>2048</v>
      </c>
    </row>
    <row r="44" spans="2:17" x14ac:dyDescent="0.25">
      <c r="B44" s="48" t="s">
        <v>368</v>
      </c>
      <c r="P44" s="48" t="s">
        <v>168</v>
      </c>
      <c r="Q44" s="48">
        <v>3405</v>
      </c>
    </row>
    <row r="45" spans="2:17" x14ac:dyDescent="0.25">
      <c r="B45" s="48" t="s">
        <v>369</v>
      </c>
      <c r="P45" s="48" t="s">
        <v>172</v>
      </c>
      <c r="Q45" s="48">
        <v>5208</v>
      </c>
    </row>
    <row r="46" spans="2:17" x14ac:dyDescent="0.25">
      <c r="B46" s="48" t="s">
        <v>370</v>
      </c>
      <c r="P46" s="48" t="s">
        <v>174</v>
      </c>
      <c r="Q46" s="48">
        <v>3402</v>
      </c>
    </row>
    <row r="47" spans="2:17" x14ac:dyDescent="0.25">
      <c r="B47" s="48" t="s">
        <v>371</v>
      </c>
      <c r="P47" s="48" t="s">
        <v>175</v>
      </c>
      <c r="Q47" s="48">
        <v>2035</v>
      </c>
    </row>
    <row r="48" spans="2:17" x14ac:dyDescent="0.25">
      <c r="P48" s="48" t="s">
        <v>178</v>
      </c>
      <c r="Q48" s="48">
        <v>3404</v>
      </c>
    </row>
    <row r="49" spans="16:17" x14ac:dyDescent="0.25">
      <c r="P49" s="48" t="s">
        <v>179</v>
      </c>
      <c r="Q49" s="48">
        <v>3306</v>
      </c>
    </row>
    <row r="50" spans="16:17" x14ac:dyDescent="0.25">
      <c r="P50" s="48" t="s">
        <v>181</v>
      </c>
      <c r="Q50" s="48">
        <v>3400</v>
      </c>
    </row>
    <row r="51" spans="16:17" x14ac:dyDescent="0.25">
      <c r="P51" s="48" t="s">
        <v>182</v>
      </c>
      <c r="Q51" s="48">
        <v>3403</v>
      </c>
    </row>
    <row r="52" spans="16:17" x14ac:dyDescent="0.25">
      <c r="P52" s="48" t="s">
        <v>184</v>
      </c>
      <c r="Q52" s="48">
        <v>2004</v>
      </c>
    </row>
    <row r="53" spans="16:17" x14ac:dyDescent="0.25">
      <c r="P53" s="48" t="s">
        <v>190</v>
      </c>
      <c r="Q53" s="48">
        <v>2065</v>
      </c>
    </row>
    <row r="54" spans="16:17" x14ac:dyDescent="0.25">
      <c r="P54" s="48" t="s">
        <v>191</v>
      </c>
      <c r="Q54" s="48">
        <v>2051</v>
      </c>
    </row>
    <row r="55" spans="16:17" x14ac:dyDescent="0.25">
      <c r="P55" s="48" t="s">
        <v>192</v>
      </c>
      <c r="Q55" s="48">
        <v>2069</v>
      </c>
    </row>
    <row r="56" spans="16:17" x14ac:dyDescent="0.25">
      <c r="P56" s="48" t="s">
        <v>194</v>
      </c>
      <c r="Q56" s="48">
        <v>2074</v>
      </c>
    </row>
    <row r="57" spans="16:17" x14ac:dyDescent="0.25">
      <c r="P57" s="48" t="s">
        <v>196</v>
      </c>
      <c r="Q57" s="48">
        <v>2049</v>
      </c>
    </row>
    <row r="58" spans="16:17" x14ac:dyDescent="0.25">
      <c r="P58" s="48" t="s">
        <v>197</v>
      </c>
      <c r="Q58" s="48">
        <v>2082</v>
      </c>
    </row>
    <row r="59" spans="16:17" x14ac:dyDescent="0.25">
      <c r="P59" s="48" t="s">
        <v>198</v>
      </c>
      <c r="Q59" s="48">
        <v>2060</v>
      </c>
    </row>
  </sheetData>
  <mergeCells count="2">
    <mergeCell ref="C6:E6"/>
    <mergeCell ref="C24:E24"/>
  </mergeCells>
  <conditionalFormatting sqref="Q36">
    <cfRule type="duplicateValues" dxfId="1" priority="1"/>
  </conditionalFormatting>
  <conditionalFormatting sqref="Q37:Q59 Q3:Q35">
    <cfRule type="duplicateValues" dxfId="0" priority="21"/>
  </conditionalFormatting>
  <dataValidations count="1">
    <dataValidation type="list" allowBlank="1" showInputMessage="1" showErrorMessage="1" promptTitle="Please select school" sqref="B3" xr:uid="{00000000-0002-0000-0600-000000000000}">
      <formula1>$P$3:$P$59</formula1>
    </dataValidation>
  </dataValidations>
  <pageMargins left="0.70866141732283472" right="0.70866141732283472" top="0.74803149606299213" bottom="0.74803149606299213" header="0.31496062992125984" footer="0.31496062992125984"/>
  <pageSetup paperSize="9"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62316f4-5d4e-44a8-a5ef-32b9ccfcf81e">
      <UserInfo>
        <DisplayName>Nina Yasin</DisplayName>
        <AccountId>4254</AccountId>
        <AccountType/>
      </UserInfo>
      <UserInfo>
        <DisplayName>Asif Huq</DisplayName>
        <AccountId>4300</AccountId>
        <AccountType/>
      </UserInfo>
    </SharedWithUsers>
    <lcf76f155ced4ddcb4097134ff3c332f xmlns="bbfdf82c-52d2-4d4d-96ea-a7a5fb009161">
      <Terms xmlns="http://schemas.microsoft.com/office/infopath/2007/PartnerControls"/>
    </lcf76f155ced4ddcb4097134ff3c332f>
    <TaxCatchAll xmlns="962316f4-5d4e-44a8-a5ef-32b9ccfcf81e" xsi:nil="true"/>
    <Order0 xmlns="bbfdf82c-52d2-4d4d-96ea-a7a5fb00916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A917BF2E65A01458C8572B710C39C45" ma:contentTypeVersion="18" ma:contentTypeDescription="Create a new document." ma:contentTypeScope="" ma:versionID="1c5b2744b6803f644f3c8bb789065cdd">
  <xsd:schema xmlns:xsd="http://www.w3.org/2001/XMLSchema" xmlns:xs="http://www.w3.org/2001/XMLSchema" xmlns:p="http://schemas.microsoft.com/office/2006/metadata/properties" xmlns:ns2="962316f4-5d4e-44a8-a5ef-32b9ccfcf81e" xmlns:ns3="bbfdf82c-52d2-4d4d-96ea-a7a5fb009161" targetNamespace="http://schemas.microsoft.com/office/2006/metadata/properties" ma:root="true" ma:fieldsID="538c96bd3de5db1e257c9e3f459c6953" ns2:_="" ns3:_="">
    <xsd:import namespace="962316f4-5d4e-44a8-a5ef-32b9ccfcf81e"/>
    <xsd:import namespace="bbfdf82c-52d2-4d4d-96ea-a7a5fb00916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Order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316f4-5d4e-44a8-a5ef-32b9ccfcf81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359590d-4980-4a2f-aed4-1319437f1000}" ma:internalName="TaxCatchAll" ma:showField="CatchAllData" ma:web="962316f4-5d4e-44a8-a5ef-32b9ccfcf81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bfdf82c-52d2-4d4d-96ea-a7a5fb00916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75d32d0-dd38-4d2f-b4b0-3860cb1feb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Order0" ma:index="24" nillable="true" ma:displayName="Order" ma:format="Dropdown" ma:internalName="Order0" ma:percentage="FALSE">
      <xsd:simpleType>
        <xsd:restriction base="dms:Number"/>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2FC806-3408-4880-8F31-3E9935B55EB4}">
  <ds:schemaRefs>
    <ds:schemaRef ds:uri="http://schemas.microsoft.com/office/2006/metadata/properties"/>
    <ds:schemaRef ds:uri="http://schemas.microsoft.com/office/infopath/2007/PartnerControls"/>
    <ds:schemaRef ds:uri="962316f4-5d4e-44a8-a5ef-32b9ccfcf81e"/>
    <ds:schemaRef ds:uri="bbfdf82c-52d2-4d4d-96ea-a7a5fb009161"/>
  </ds:schemaRefs>
</ds:datastoreItem>
</file>

<file path=customXml/itemProps2.xml><?xml version="1.0" encoding="utf-8"?>
<ds:datastoreItem xmlns:ds="http://schemas.openxmlformats.org/officeDocument/2006/customXml" ds:itemID="{93F7E339-F5E8-443D-A48E-1722DB968E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316f4-5d4e-44a8-a5ef-32b9ccfcf81e"/>
    <ds:schemaRef ds:uri="bbfdf82c-52d2-4d4d-96ea-a7a5fb009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3BC3CE-787E-417E-A621-FE71A2C79E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Notes</vt:lpstr>
      <vt:lpstr>Indv Schools</vt:lpstr>
      <vt:lpstr>All Schools</vt:lpstr>
      <vt:lpstr>EYSFF</vt:lpstr>
      <vt:lpstr>EYSFF Calc</vt:lpstr>
      <vt:lpstr>McMillan </vt:lpstr>
      <vt:lpstr>EYSFF (Universal)</vt:lpstr>
      <vt:lpstr>EYSFF (Additional)</vt:lpstr>
      <vt:lpstr>EYSFF Calculator</vt:lpstr>
      <vt:lpstr>Sheet1</vt:lpstr>
      <vt:lpstr>IDACI_B1_Pri</vt:lpstr>
      <vt:lpstr>IDACI_B2_Pri</vt:lpstr>
      <vt:lpstr>IDACI_B3_Pri</vt:lpstr>
      <vt:lpstr>IDACI_B4_Pri</vt:lpstr>
      <vt:lpstr>IDACI_B5_Pri</vt:lpstr>
      <vt:lpstr>'All Schools'!Print_Area</vt:lpstr>
      <vt:lpstr>'Indv Schools'!Print_Area</vt:lpstr>
      <vt:lpstr>Notes!Print_Area</vt:lpstr>
      <vt:lpstr>'All Schools'!Print_Titles</vt:lpstr>
    </vt:vector>
  </TitlesOfParts>
  <Manager/>
  <Company>London Borough of Hillingdon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 Munro</dc:creator>
  <cp:keywords/>
  <dc:description/>
  <cp:lastModifiedBy>Steve Denbeigh</cp:lastModifiedBy>
  <cp:revision/>
  <dcterms:created xsi:type="dcterms:W3CDTF">2013-01-31T15:35:29Z</dcterms:created>
  <dcterms:modified xsi:type="dcterms:W3CDTF">2025-05-20T15:33:16Z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a8edf35-91ea-44e1-afab-38c462b39a0c_Enabled">
    <vt:lpwstr>true</vt:lpwstr>
  </property>
  <property fmtid="{D5CDD505-2E9C-101B-9397-08002B2CF9AE}" pid="3" name="MSIP_Label_7a8edf35-91ea-44e1-afab-38c462b39a0c_SetDate">
    <vt:lpwstr>2020-12-15T08:35:46Z</vt:lpwstr>
  </property>
  <property fmtid="{D5CDD505-2E9C-101B-9397-08002B2CF9AE}" pid="4" name="MSIP_Label_7a8edf35-91ea-44e1-afab-38c462b39a0c_Method">
    <vt:lpwstr>Standard</vt:lpwstr>
  </property>
  <property fmtid="{D5CDD505-2E9C-101B-9397-08002B2CF9AE}" pid="5" name="MSIP_Label_7a8edf35-91ea-44e1-afab-38c462b39a0c_Name">
    <vt:lpwstr>Official</vt:lpwstr>
  </property>
  <property fmtid="{D5CDD505-2E9C-101B-9397-08002B2CF9AE}" pid="6" name="MSIP_Label_7a8edf35-91ea-44e1-afab-38c462b39a0c_SiteId">
    <vt:lpwstr>aaacb679-c381-48fb-b320-f9d581ee948f</vt:lpwstr>
  </property>
  <property fmtid="{D5CDD505-2E9C-101B-9397-08002B2CF9AE}" pid="7" name="MSIP_Label_7a8edf35-91ea-44e1-afab-38c462b39a0c_ActionId">
    <vt:lpwstr>28677345-8ad7-41c7-bf28-f908965dc275</vt:lpwstr>
  </property>
  <property fmtid="{D5CDD505-2E9C-101B-9397-08002B2CF9AE}" pid="8" name="MSIP_Label_7a8edf35-91ea-44e1-afab-38c462b39a0c_ContentBits">
    <vt:lpwstr>0</vt:lpwstr>
  </property>
  <property fmtid="{D5CDD505-2E9C-101B-9397-08002B2CF9AE}" pid="9" name="ContentTypeId">
    <vt:lpwstr>0x010100CA917BF2E65A01458C8572B710C39C45</vt:lpwstr>
  </property>
  <property fmtid="{D5CDD505-2E9C-101B-9397-08002B2CF9AE}" pid="10" name="Order">
    <vt:r8>100</vt:r8>
  </property>
  <property fmtid="{D5CDD505-2E9C-101B-9397-08002B2CF9AE}" pid="11" name="MediaServiceImageTags">
    <vt:lpwstr/>
  </property>
  <property fmtid="{D5CDD505-2E9C-101B-9397-08002B2CF9AE}" pid="12" name="SV_QUERY_LIST_4F35BF76-6C0D-4D9B-82B2-816C12CF3733">
    <vt:lpwstr>empty_477D106A-C0D6-4607-AEBD-E2C9D60EA279</vt:lpwstr>
  </property>
  <property fmtid="{D5CDD505-2E9C-101B-9397-08002B2CF9AE}" pid="13" name="SV_HIDDEN_GRID_QUERY_LIST_4F35BF76-6C0D-4D9B-82B2-816C12CF3733">
    <vt:lpwstr>empty_477D106A-C0D6-4607-AEBD-E2C9D60EA279</vt:lpwstr>
  </property>
</Properties>
</file>