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defaultThemeVersion="124226"/>
  <mc:AlternateContent xmlns:mc="http://schemas.openxmlformats.org/markup-compatibility/2006">
    <mc:Choice Requires="x15">
      <x15ac:absPath xmlns:x15ac="http://schemas.microsoft.com/office/spreadsheetml/2010/11/ac" url="https://hillingdon-my.sharepoint.com/personal/sdenbeigh_hillingdon_gov_uk1/Documents/Desktop/Files for Corp web/School Budgets/Mainstream/"/>
    </mc:Choice>
  </mc:AlternateContent>
  <xr:revisionPtr revIDLastSave="2" documentId="8_{30BE9364-F8F8-415D-A473-53EB2FACD9F3}" xr6:coauthVersionLast="47" xr6:coauthVersionMax="47" xr10:uidLastSave="{F0808DF2-D714-4201-BC19-2AE60F441282}"/>
  <bookViews>
    <workbookView xWindow="68520" yWindow="870" windowWidth="20360" windowHeight="14060" tabRatio="598" firstSheet="1" activeTab="1" xr2:uid="{00000000-000D-0000-FFFF-FFFF00000000}"/>
  </bookViews>
  <sheets>
    <sheet name="Notes" sheetId="8" r:id="rId1"/>
    <sheet name="Indv Schools" sheetId="2" r:id="rId2"/>
    <sheet name="All Schools" sheetId="1" r:id="rId3"/>
    <sheet name="McMillan " sheetId="9" r:id="rId4"/>
    <sheet name="EYSFF (Universal)" sheetId="11" state="hidden" r:id="rId5"/>
    <sheet name="EYSFF (Additional)" sheetId="17" state="hidden" r:id="rId6"/>
    <sheet name="EYSFF Calculator" sheetId="16" r:id="rId7"/>
    <sheet name="Sheet1" sheetId="14" state="hidden" r:id="rId8"/>
  </sheets>
  <definedNames>
    <definedName name="_xlnm._FilterDatabase" localSheetId="2" hidden="1">'All Schools'!$A$4:$CT$93</definedName>
    <definedName name="_xlnm._FilterDatabase" localSheetId="5" hidden="1">'EYSFF (Additional)'!$A$8:$K$8</definedName>
    <definedName name="_xlnm._FilterDatabase" localSheetId="1" hidden="1">'Indv Schools'!$M$5:$M$69</definedName>
    <definedName name="Ab">#REF!</definedName>
    <definedName name="All_distance_threshold">#REF!</definedName>
    <definedName name="All_PupilNo_threshold">#REF!</definedName>
    <definedName name="an">#REF!</definedName>
    <definedName name="Anchor_Factors">#REF!</definedName>
    <definedName name="Anchor_NDShare">#REF!</definedName>
    <definedName name="AWPU_KS3_Rate">#REF!</definedName>
    <definedName name="AWPU_KS4_Rate">#REF!</definedName>
    <definedName name="AWPU_Pri_Rate">#REF!</definedName>
    <definedName name="Capping_Scaling_YesNo">#REF!</definedName>
    <definedName name="Ceiling">#REF!</definedName>
    <definedName name="Col_Ref_Factors">#REF!</definedName>
    <definedName name="Col_Ref_NDShare">#REF!</definedName>
    <definedName name="current_year">#REF!</definedName>
    <definedName name="EAL_Pri">#REF!</definedName>
    <definedName name="EAL_Pri_Option">#REF!</definedName>
    <definedName name="EAL_Sec">#REF!</definedName>
    <definedName name="EAL_Sec_Option">#REF!</definedName>
    <definedName name="Ever6_pri_rate">#REF!</definedName>
    <definedName name="Ever6_sec_rate">#REF!</definedName>
    <definedName name="FSM_Pri_Rate">#REF!</definedName>
    <definedName name="FSM_Sec_Rate">#REF!</definedName>
    <definedName name="IDACI_B1_Pri">'All Schools'!$F$17</definedName>
    <definedName name="IDACI_B1_Sec">#REF!</definedName>
    <definedName name="IDACI_B2_Pri">'All Schools'!$F$18</definedName>
    <definedName name="IDACI_B2_Sec">#REF!</definedName>
    <definedName name="IDACI_B3_Pri">'All Schools'!$F$19</definedName>
    <definedName name="IDACI_B3_Sec">#REF!</definedName>
    <definedName name="IDACI_B4_Pri">'All Schools'!$F$20</definedName>
    <definedName name="IDACI_B4_Sec">#REF!</definedName>
    <definedName name="IDACI_B5_Pri">'All Schools'!$F$21</definedName>
    <definedName name="IDACI_B5_Sec">#REF!</definedName>
    <definedName name="IDACI_B6_Pri">#REF!</definedName>
    <definedName name="IDACI_B6_Sec">#REF!</definedName>
    <definedName name="ISB">#REF!</definedName>
    <definedName name="LAC_Rate">#REF!</definedName>
    <definedName name="LCHI_Pri">#REF!</definedName>
    <definedName name="LCHI_Sec">#REF!</definedName>
    <definedName name="MFG_Rate">#REF!</definedName>
    <definedName name="Mid_distance_threshold">#REF!</definedName>
    <definedName name="Mid_PupilNo_threshold">#REF!</definedName>
    <definedName name="min_pupil_rate_KS3">#REF!</definedName>
    <definedName name="min_pupil_rate_KS4">#REF!</definedName>
    <definedName name="min_pupil_rate_pri">#REF!</definedName>
    <definedName name="Mobility_Pri">#REF!</definedName>
    <definedName name="Mobility_Sec">#REF!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ver6_Pri">#REF!</definedName>
    <definedName name="Notional_SEN_Ever6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ExCir7">#REF!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FG">#REF!</definedName>
    <definedName name="Notional_SEN_Mobility_Pri">#REF!</definedName>
    <definedName name="Notional_SEN_Mobility_Sec">#REF!</definedName>
    <definedName name="Notional_SEN_MPPF">#REF!</definedName>
    <definedName name="Notional_SEN_PFI">#REF!</definedName>
    <definedName name="Notional_SEN_Rates">#REF!</definedName>
    <definedName name="Notional_SEN_Sparsity_Pri">#REF!</definedName>
    <definedName name="Notional_SEN_Sparsity_Sec">#REF!</definedName>
    <definedName name="Notional_SEN_Split_sites">#REF!</definedName>
    <definedName name="previous_year">#REF!</definedName>
    <definedName name="Pri_distance_threshold">#REF!</definedName>
    <definedName name="Pri_PupilNo_threshold">#REF!</definedName>
    <definedName name="Primary_Lump_sum">#REF!</definedName>
    <definedName name="_xlnm.Print_Area" localSheetId="2">'All Schools'!$A$1:$CS$95</definedName>
    <definedName name="_xlnm.Print_Area" localSheetId="1">'Indv Schools'!$A$1:$G$81</definedName>
    <definedName name="_xlnm.Print_Area" localSheetId="0">Notes!$B$1:$C$31</definedName>
    <definedName name="_xlnm.Print_Titles" localSheetId="2">'All Schools'!$B:$C</definedName>
    <definedName name="_xlnm.Print_Titles" localSheetId="5">'EYSFF (Additional)'!#REF!</definedName>
    <definedName name="_xlnm.Print_Titles" localSheetId="4">'EYSFF (Universal)'!#REF!</definedName>
    <definedName name="Reception_Uplift_YesNo">#REF!</definedName>
    <definedName name="Scaling_Factor">#REF!</definedName>
    <definedName name="School_URN_Factors">#REF!</definedName>
    <definedName name="School_URN_NDShare">#REF!</definedName>
    <definedName name="Sec_distance_threshold">#REF!</definedName>
    <definedName name="Sec_PupilNo_threshold">#REF!</definedName>
    <definedName name="Secondary_Lump_Sum">#REF!</definedName>
    <definedName name="Sparsity_All_lump_sum">#REF!</definedName>
    <definedName name="Sparsity_Mid_lump_sum">#REF!</definedName>
    <definedName name="Sparsity_Pri_lump_sum">#REF!</definedName>
    <definedName name="Sparsity_Sec_lump_sum">#REF!</definedName>
    <definedName name="ste">#REF!</definedName>
    <definedName name="Tapered_all_lump_sum">#REF!</definedName>
    <definedName name="Tapered_mid_lump_sum">#REF!</definedName>
    <definedName name="Tapered_primary_lump_sum">#REF!</definedName>
    <definedName name="Tapered_secondary_lump_sum">#REF!</definedName>
    <definedName name="ty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11" l="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10" i="11"/>
  <c r="X11" i="11"/>
  <c r="X12" i="11"/>
  <c r="X13" i="11"/>
  <c r="X14" i="11"/>
  <c r="X15" i="11"/>
  <c r="X16" i="11"/>
  <c r="X17" i="11"/>
  <c r="X18" i="11"/>
  <c r="X19" i="11"/>
  <c r="X20" i="11"/>
  <c r="X21" i="11"/>
  <c r="X22" i="11"/>
  <c r="X23" i="11"/>
  <c r="X24" i="11"/>
  <c r="X25" i="11"/>
  <c r="X26" i="11"/>
  <c r="X27" i="11"/>
  <c r="X28" i="11"/>
  <c r="X29" i="11"/>
  <c r="X30" i="11"/>
  <c r="X31" i="11"/>
  <c r="X32" i="11"/>
  <c r="X33" i="11"/>
  <c r="X34" i="11"/>
  <c r="X35" i="11"/>
  <c r="X36" i="11"/>
  <c r="X37" i="11"/>
  <c r="X38" i="11"/>
  <c r="X39" i="11"/>
  <c r="X40" i="11"/>
  <c r="X41" i="11"/>
  <c r="X42" i="11"/>
  <c r="X43" i="11"/>
  <c r="X44" i="11"/>
  <c r="X45" i="11"/>
  <c r="X46" i="11"/>
  <c r="X47" i="11"/>
  <c r="X48" i="11"/>
  <c r="X49" i="11"/>
  <c r="X50" i="11"/>
  <c r="X51" i="11"/>
  <c r="X52" i="11"/>
  <c r="X53" i="11"/>
  <c r="X54" i="11"/>
  <c r="X55" i="11"/>
  <c r="X56" i="11"/>
  <c r="X57" i="11"/>
  <c r="X58" i="11"/>
  <c r="X59" i="11"/>
  <c r="X60" i="11"/>
  <c r="X61" i="11"/>
  <c r="X62" i="11"/>
  <c r="X63" i="11"/>
  <c r="X64" i="11"/>
  <c r="X65" i="11"/>
  <c r="X66" i="11"/>
  <c r="X10" i="11"/>
  <c r="CH95" i="1" l="1"/>
  <c r="N71" i="11" l="1"/>
  <c r="M71" i="11"/>
  <c r="J71" i="11"/>
  <c r="H71" i="11"/>
  <c r="U65"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CO95" i="1" l="1"/>
  <c r="C18" i="9"/>
  <c r="C15" i="9"/>
  <c r="C13" i="9"/>
  <c r="C12" i="9"/>
  <c r="F9" i="9" l="1"/>
  <c r="AB66" i="11" l="1"/>
  <c r="Y35" i="11"/>
  <c r="Y66" i="11"/>
  <c r="Y10" i="11"/>
  <c r="H10" i="11"/>
  <c r="W10" i="11" s="1"/>
  <c r="G67" i="11"/>
  <c r="F67" i="11"/>
  <c r="E67" i="11"/>
  <c r="W66" i="11"/>
  <c r="H65" i="11"/>
  <c r="H64" i="11"/>
  <c r="H63" i="11"/>
  <c r="H62" i="11"/>
  <c r="H61" i="11"/>
  <c r="H60" i="11"/>
  <c r="H59" i="11"/>
  <c r="H58" i="11"/>
  <c r="W58" i="11" s="1"/>
  <c r="Y58" i="11" s="1"/>
  <c r="H57" i="11"/>
  <c r="W57" i="11" s="1"/>
  <c r="Y57" i="11" s="1"/>
  <c r="H56" i="11"/>
  <c r="W56" i="11" s="1"/>
  <c r="Y56" i="11" s="1"/>
  <c r="W55" i="11"/>
  <c r="Y55" i="11" s="1"/>
  <c r="H55" i="11"/>
  <c r="H54" i="11"/>
  <c r="R54" i="11" s="1"/>
  <c r="T54" i="11" s="1"/>
  <c r="U54" i="11" s="1"/>
  <c r="H53" i="11"/>
  <c r="R53" i="11" s="1"/>
  <c r="T53" i="11" s="1"/>
  <c r="U53" i="11" s="1"/>
  <c r="H52" i="11"/>
  <c r="H51" i="11"/>
  <c r="H50" i="11"/>
  <c r="H49" i="11"/>
  <c r="H48" i="11"/>
  <c r="W48" i="11" s="1"/>
  <c r="Y48" i="11" s="1"/>
  <c r="H47" i="11"/>
  <c r="W47" i="11" s="1"/>
  <c r="Y47" i="11" s="1"/>
  <c r="H46" i="11"/>
  <c r="H45" i="11"/>
  <c r="H44" i="11"/>
  <c r="H43" i="11"/>
  <c r="W43" i="11" s="1"/>
  <c r="Y43" i="11" s="1"/>
  <c r="H42" i="11"/>
  <c r="H41" i="11"/>
  <c r="H40" i="11"/>
  <c r="H39" i="11"/>
  <c r="W39" i="11" s="1"/>
  <c r="Y39" i="11" s="1"/>
  <c r="H38" i="11"/>
  <c r="H37" i="11"/>
  <c r="H36" i="11"/>
  <c r="H35" i="11"/>
  <c r="W35" i="11" s="1"/>
  <c r="H34" i="11"/>
  <c r="W34" i="11" s="1"/>
  <c r="Y34" i="11" s="1"/>
  <c r="H33" i="11"/>
  <c r="W33" i="11" s="1"/>
  <c r="Y33" i="11" s="1"/>
  <c r="H32" i="11"/>
  <c r="H31" i="11"/>
  <c r="H30" i="11"/>
  <c r="H29" i="11"/>
  <c r="W28" i="11"/>
  <c r="Y28" i="11" s="1"/>
  <c r="H28" i="11"/>
  <c r="H27" i="11"/>
  <c r="H26" i="11"/>
  <c r="H25" i="11"/>
  <c r="W25" i="11" s="1"/>
  <c r="Y25" i="11" s="1"/>
  <c r="H24" i="11"/>
  <c r="W24" i="11" s="1"/>
  <c r="Y24" i="11" s="1"/>
  <c r="H23" i="11"/>
  <c r="H22" i="11"/>
  <c r="H21" i="11"/>
  <c r="H20" i="11"/>
  <c r="H19" i="11"/>
  <c r="W19" i="11" s="1"/>
  <c r="Y19" i="11" s="1"/>
  <c r="H18" i="11"/>
  <c r="W18" i="11" s="1"/>
  <c r="Y18" i="11" s="1"/>
  <c r="H17" i="11"/>
  <c r="H16" i="11"/>
  <c r="W16" i="11" s="1"/>
  <c r="Y16" i="11" s="1"/>
  <c r="H15" i="11"/>
  <c r="W15" i="11" s="1"/>
  <c r="Y15" i="11" s="1"/>
  <c r="H14" i="11"/>
  <c r="H13" i="11"/>
  <c r="W12" i="11"/>
  <c r="Y12" i="11" s="1"/>
  <c r="H12" i="11"/>
  <c r="H11" i="11"/>
  <c r="J11" i="11" s="1"/>
  <c r="I8" i="11"/>
  <c r="I11" i="11" s="1"/>
  <c r="AC7" i="11"/>
  <c r="Y7" i="11"/>
  <c r="T7" i="11"/>
  <c r="N7" i="11"/>
  <c r="J7" i="11"/>
  <c r="Q58" i="17"/>
  <c r="V57" i="17"/>
  <c r="W56" i="17"/>
  <c r="R56" i="17"/>
  <c r="S56" i="17" s="1"/>
  <c r="W55" i="17"/>
  <c r="R55" i="17"/>
  <c r="S55" i="17" s="1"/>
  <c r="W54" i="17"/>
  <c r="R54" i="17"/>
  <c r="S54" i="17" s="1"/>
  <c r="G54" i="17"/>
  <c r="L54" i="17" s="1"/>
  <c r="M54" i="17" s="1"/>
  <c r="W53" i="17"/>
  <c r="R53" i="17"/>
  <c r="S53" i="17" s="1"/>
  <c r="W52" i="17"/>
  <c r="R52" i="17"/>
  <c r="S52" i="17" s="1"/>
  <c r="W51" i="17"/>
  <c r="S51" i="17"/>
  <c r="R51" i="17"/>
  <c r="W50" i="17"/>
  <c r="R50" i="17"/>
  <c r="S50" i="17" s="1"/>
  <c r="G50" i="17"/>
  <c r="L50" i="17" s="1"/>
  <c r="M50" i="17" s="1"/>
  <c r="W49" i="17"/>
  <c r="R49" i="17"/>
  <c r="S49" i="17" s="1"/>
  <c r="W48" i="17"/>
  <c r="R48" i="17"/>
  <c r="S48" i="17" s="1"/>
  <c r="W47" i="17"/>
  <c r="R47" i="17"/>
  <c r="S47" i="17" s="1"/>
  <c r="G47" i="17"/>
  <c r="L47" i="17" s="1"/>
  <c r="M47" i="17" s="1"/>
  <c r="W46" i="17"/>
  <c r="R46" i="17"/>
  <c r="S46" i="17" s="1"/>
  <c r="W45" i="17"/>
  <c r="R45" i="17"/>
  <c r="S45" i="17" s="1"/>
  <c r="W44" i="17"/>
  <c r="R44" i="17"/>
  <c r="S44" i="17" s="1"/>
  <c r="G44" i="17"/>
  <c r="W43" i="17"/>
  <c r="R43" i="17"/>
  <c r="S43" i="17" s="1"/>
  <c r="W42" i="17"/>
  <c r="R42" i="17"/>
  <c r="S42" i="17" s="1"/>
  <c r="W41" i="17"/>
  <c r="R41" i="17"/>
  <c r="S41" i="17" s="1"/>
  <c r="W40" i="17"/>
  <c r="R40" i="17"/>
  <c r="S40" i="17" s="1"/>
  <c r="W39" i="17"/>
  <c r="R39" i="17"/>
  <c r="S39" i="17" s="1"/>
  <c r="W38" i="17"/>
  <c r="R38" i="17"/>
  <c r="S38" i="17" s="1"/>
  <c r="W37" i="17"/>
  <c r="R37" i="17"/>
  <c r="S37" i="17" s="1"/>
  <c r="W36" i="17"/>
  <c r="R36" i="17"/>
  <c r="S36" i="17" s="1"/>
  <c r="W35" i="17"/>
  <c r="R35" i="17"/>
  <c r="S35" i="17" s="1"/>
  <c r="G35" i="17"/>
  <c r="W34" i="17"/>
  <c r="R34" i="17"/>
  <c r="S34" i="17" s="1"/>
  <c r="R33" i="17"/>
  <c r="S33" i="17" s="1"/>
  <c r="G33" i="17"/>
  <c r="W32" i="17"/>
  <c r="R32" i="17"/>
  <c r="S32" i="17" s="1"/>
  <c r="W31" i="17"/>
  <c r="R31" i="17"/>
  <c r="S31" i="17" s="1"/>
  <c r="W30" i="17"/>
  <c r="R30" i="17"/>
  <c r="S30" i="17" s="1"/>
  <c r="W29" i="17"/>
  <c r="R29" i="17"/>
  <c r="S29" i="17" s="1"/>
  <c r="W28" i="17"/>
  <c r="R28" i="17"/>
  <c r="S28" i="17" s="1"/>
  <c r="W27" i="17"/>
  <c r="R27" i="17"/>
  <c r="S27" i="17" s="1"/>
  <c r="W26" i="17"/>
  <c r="R26" i="17"/>
  <c r="S26" i="17" s="1"/>
  <c r="W25" i="17"/>
  <c r="R25" i="17"/>
  <c r="S25" i="17" s="1"/>
  <c r="W24" i="17"/>
  <c r="R24" i="17"/>
  <c r="S24" i="17" s="1"/>
  <c r="W23" i="17"/>
  <c r="R23" i="17"/>
  <c r="S23" i="17" s="1"/>
  <c r="W22" i="17"/>
  <c r="R22" i="17"/>
  <c r="S22" i="17" s="1"/>
  <c r="G22" i="17"/>
  <c r="L22" i="17" s="1"/>
  <c r="M22" i="17" s="1"/>
  <c r="W21" i="17"/>
  <c r="R21" i="17"/>
  <c r="S21" i="17" s="1"/>
  <c r="W20" i="17"/>
  <c r="R20" i="17"/>
  <c r="S20" i="17" s="1"/>
  <c r="W19" i="17"/>
  <c r="R19" i="17"/>
  <c r="S19" i="17" s="1"/>
  <c r="W18" i="17"/>
  <c r="R18" i="17"/>
  <c r="S18" i="17" s="1"/>
  <c r="W17" i="17"/>
  <c r="R17" i="17"/>
  <c r="S17" i="17" s="1"/>
  <c r="W16" i="17"/>
  <c r="R16" i="17"/>
  <c r="S16" i="17" s="1"/>
  <c r="W15" i="17"/>
  <c r="R15" i="17"/>
  <c r="S15" i="17" s="1"/>
  <c r="W14" i="17"/>
  <c r="R14" i="17"/>
  <c r="S14" i="17" s="1"/>
  <c r="W13" i="17"/>
  <c r="R13" i="17"/>
  <c r="S13" i="17" s="1"/>
  <c r="G13" i="17"/>
  <c r="L13" i="17" s="1"/>
  <c r="M13" i="17" s="1"/>
  <c r="W12" i="17"/>
  <c r="R12" i="17"/>
  <c r="S12" i="17" s="1"/>
  <c r="W11" i="17"/>
  <c r="S11" i="17"/>
  <c r="R11" i="17"/>
  <c r="H8" i="17"/>
  <c r="H13" i="17" s="1"/>
  <c r="R14" i="11" l="1"/>
  <c r="T14" i="11" s="1"/>
  <c r="U14" i="11" s="1"/>
  <c r="R42" i="11"/>
  <c r="T42" i="11" s="1"/>
  <c r="U42" i="11" s="1"/>
  <c r="R22" i="11"/>
  <c r="T22" i="11" s="1"/>
  <c r="U22" i="11" s="1"/>
  <c r="R30" i="11"/>
  <c r="T30" i="11" s="1"/>
  <c r="U30" i="11" s="1"/>
  <c r="V33" i="17"/>
  <c r="X33" i="17" s="1"/>
  <c r="L33" i="17"/>
  <c r="H19" i="17"/>
  <c r="V44" i="17"/>
  <c r="X44" i="17" s="1"/>
  <c r="L44" i="17"/>
  <c r="M44" i="17" s="1"/>
  <c r="V35" i="17"/>
  <c r="L35" i="17"/>
  <c r="M35" i="17" s="1"/>
  <c r="R28" i="11"/>
  <c r="T28" i="11" s="1"/>
  <c r="U28" i="11" s="1"/>
  <c r="R45" i="11"/>
  <c r="T45" i="11" s="1"/>
  <c r="U45" i="11" s="1"/>
  <c r="R63" i="11"/>
  <c r="T63" i="11" s="1"/>
  <c r="U63" i="11" s="1"/>
  <c r="R50" i="11"/>
  <c r="T50" i="11" s="1"/>
  <c r="U50" i="11" s="1"/>
  <c r="R27" i="11"/>
  <c r="T27" i="11" s="1"/>
  <c r="U27" i="11" s="1"/>
  <c r="R47" i="11"/>
  <c r="T47" i="11" s="1"/>
  <c r="U47" i="11" s="1"/>
  <c r="W45" i="11"/>
  <c r="Y45" i="11" s="1"/>
  <c r="R17" i="11"/>
  <c r="T17" i="11" s="1"/>
  <c r="U17" i="11" s="1"/>
  <c r="W26" i="11"/>
  <c r="Y26" i="11" s="1"/>
  <c r="R32" i="11"/>
  <c r="T32" i="11" s="1"/>
  <c r="U32" i="11" s="1"/>
  <c r="W50" i="11"/>
  <c r="Y50" i="11" s="1"/>
  <c r="R57" i="11"/>
  <c r="T57" i="11" s="1"/>
  <c r="U57" i="11" s="1"/>
  <c r="W53" i="11"/>
  <c r="Y53" i="11" s="1"/>
  <c r="J65" i="11"/>
  <c r="J57" i="11"/>
  <c r="J60" i="11"/>
  <c r="J31" i="11"/>
  <c r="J23" i="11"/>
  <c r="J30" i="11"/>
  <c r="J41" i="11"/>
  <c r="J36" i="11"/>
  <c r="J51" i="11"/>
  <c r="J61" i="11"/>
  <c r="J52" i="11"/>
  <c r="I66" i="11"/>
  <c r="J66" i="11" s="1"/>
  <c r="I58" i="11"/>
  <c r="J58" i="11" s="1"/>
  <c r="I42" i="11"/>
  <c r="J42" i="11" s="1"/>
  <c r="I34" i="11"/>
  <c r="J34" i="11" s="1"/>
  <c r="I26" i="11"/>
  <c r="J26" i="11" s="1"/>
  <c r="I18" i="11"/>
  <c r="J18" i="11" s="1"/>
  <c r="W65" i="11"/>
  <c r="Y65" i="11" s="1"/>
  <c r="I65" i="11"/>
  <c r="I57" i="11"/>
  <c r="I49" i="11"/>
  <c r="J49" i="11" s="1"/>
  <c r="I41" i="11"/>
  <c r="I33" i="11"/>
  <c r="J33" i="11" s="1"/>
  <c r="I25" i="11"/>
  <c r="J25" i="11" s="1"/>
  <c r="I17" i="11"/>
  <c r="J17" i="11" s="1"/>
  <c r="R16" i="11"/>
  <c r="T16" i="11" s="1"/>
  <c r="U16" i="11" s="1"/>
  <c r="W31" i="11"/>
  <c r="Y31" i="11" s="1"/>
  <c r="R33" i="11"/>
  <c r="T33" i="11" s="1"/>
  <c r="U33" i="11" s="1"/>
  <c r="R40" i="11"/>
  <c r="T40" i="11" s="1"/>
  <c r="U40" i="11" s="1"/>
  <c r="R48" i="11"/>
  <c r="T48" i="11" s="1"/>
  <c r="U48" i="11" s="1"/>
  <c r="W52" i="11"/>
  <c r="Y52" i="11" s="1"/>
  <c r="W54" i="11"/>
  <c r="Y54" i="11" s="1"/>
  <c r="R60" i="11"/>
  <c r="T60" i="11" s="1"/>
  <c r="U60" i="11" s="1"/>
  <c r="I64" i="11"/>
  <c r="J64" i="11" s="1"/>
  <c r="I56" i="11"/>
  <c r="J56" i="11" s="1"/>
  <c r="I48" i="11"/>
  <c r="J48" i="11" s="1"/>
  <c r="I40" i="11"/>
  <c r="I32" i="11"/>
  <c r="J32" i="11" s="1"/>
  <c r="I24" i="11"/>
  <c r="J24" i="11" s="1"/>
  <c r="I16" i="11"/>
  <c r="J40" i="11"/>
  <c r="J16" i="11"/>
  <c r="I50" i="11"/>
  <c r="J50" i="11" s="1"/>
  <c r="W22" i="11"/>
  <c r="Y22" i="11" s="1"/>
  <c r="R36" i="11"/>
  <c r="T36" i="11" s="1"/>
  <c r="U36" i="11" s="1"/>
  <c r="R55" i="11"/>
  <c r="T55" i="11" s="1"/>
  <c r="U55" i="11" s="1"/>
  <c r="W63" i="11"/>
  <c r="Y63" i="11" s="1"/>
  <c r="I63" i="11"/>
  <c r="J63" i="11" s="1"/>
  <c r="I55" i="11"/>
  <c r="I47" i="11"/>
  <c r="J47" i="11" s="1"/>
  <c r="I39" i="11"/>
  <c r="I31" i="11"/>
  <c r="I23" i="11"/>
  <c r="I15" i="11"/>
  <c r="J15" i="11" s="1"/>
  <c r="J55" i="11"/>
  <c r="J39" i="11"/>
  <c r="R59" i="11"/>
  <c r="T59" i="11" s="1"/>
  <c r="U59" i="11" s="1"/>
  <c r="R64" i="11"/>
  <c r="T64" i="11" s="1"/>
  <c r="U64" i="11" s="1"/>
  <c r="I62" i="11"/>
  <c r="J62" i="11" s="1"/>
  <c r="I54" i="11"/>
  <c r="J54" i="11" s="1"/>
  <c r="I46" i="11"/>
  <c r="J46" i="11" s="1"/>
  <c r="I38" i="11"/>
  <c r="J38" i="11" s="1"/>
  <c r="I30" i="11"/>
  <c r="I22" i="11"/>
  <c r="I14" i="11"/>
  <c r="J14" i="11" s="1"/>
  <c r="J22" i="11"/>
  <c r="R19" i="11"/>
  <c r="T19" i="11" s="1"/>
  <c r="U19" i="11" s="1"/>
  <c r="W59" i="11"/>
  <c r="Y59" i="11" s="1"/>
  <c r="R62" i="11"/>
  <c r="T62" i="11" s="1"/>
  <c r="U62" i="11" s="1"/>
  <c r="I61" i="11"/>
  <c r="I53" i="11"/>
  <c r="J53" i="11" s="1"/>
  <c r="I45" i="11"/>
  <c r="J45" i="11" s="1"/>
  <c r="I37" i="11"/>
  <c r="J37" i="11" s="1"/>
  <c r="I29" i="11"/>
  <c r="J29" i="11" s="1"/>
  <c r="I21" i="11"/>
  <c r="J21" i="11" s="1"/>
  <c r="I13" i="11"/>
  <c r="J13" i="11" s="1"/>
  <c r="R21" i="11"/>
  <c r="T21" i="11" s="1"/>
  <c r="U21" i="11" s="1"/>
  <c r="R23" i="11"/>
  <c r="T23" i="11" s="1"/>
  <c r="U23" i="11" s="1"/>
  <c r="R31" i="11"/>
  <c r="T31" i="11" s="1"/>
  <c r="U31" i="11" s="1"/>
  <c r="W41" i="11"/>
  <c r="Y41" i="11" s="1"/>
  <c r="I60" i="11"/>
  <c r="I52" i="11"/>
  <c r="I44" i="11"/>
  <c r="J44" i="11" s="1"/>
  <c r="I36" i="11"/>
  <c r="I28" i="11"/>
  <c r="J28" i="11" s="1"/>
  <c r="I20" i="11"/>
  <c r="J20" i="11" s="1"/>
  <c r="I12" i="11"/>
  <c r="J12" i="11" s="1"/>
  <c r="W23" i="11"/>
  <c r="Y23" i="11" s="1"/>
  <c r="I10" i="11"/>
  <c r="I59" i="11"/>
  <c r="J59" i="11" s="1"/>
  <c r="I51" i="11"/>
  <c r="I43" i="11"/>
  <c r="J43" i="11" s="1"/>
  <c r="I35" i="11"/>
  <c r="J35" i="11" s="1"/>
  <c r="I27" i="11"/>
  <c r="I19" i="11"/>
  <c r="J27" i="11"/>
  <c r="J19" i="11"/>
  <c r="N10" i="11"/>
  <c r="R13" i="11"/>
  <c r="T13" i="11" s="1"/>
  <c r="U13" i="11" s="1"/>
  <c r="W13" i="11"/>
  <c r="Y13" i="11" s="1"/>
  <c r="R11" i="11"/>
  <c r="T11" i="11" s="1"/>
  <c r="U11" i="11" s="1"/>
  <c r="R20" i="11"/>
  <c r="T20" i="11" s="1"/>
  <c r="U20" i="11" s="1"/>
  <c r="W20" i="11"/>
  <c r="Y20" i="11" s="1"/>
  <c r="W17" i="11"/>
  <c r="Y17" i="11" s="1"/>
  <c r="W14" i="11"/>
  <c r="Y14" i="11" s="1"/>
  <c r="W38" i="11"/>
  <c r="Y38" i="11" s="1"/>
  <c r="W61" i="11"/>
  <c r="Y61" i="11" s="1"/>
  <c r="R61" i="11"/>
  <c r="T61" i="11" s="1"/>
  <c r="U61" i="11" s="1"/>
  <c r="R15" i="11"/>
  <c r="T15" i="11" s="1"/>
  <c r="U15" i="11" s="1"/>
  <c r="R18" i="11"/>
  <c r="T18" i="11" s="1"/>
  <c r="U18" i="11" s="1"/>
  <c r="R25" i="11"/>
  <c r="T25" i="11" s="1"/>
  <c r="U25" i="11" s="1"/>
  <c r="W36" i="11"/>
  <c r="Y36" i="11" s="1"/>
  <c r="R39" i="11"/>
  <c r="T39" i="11" s="1"/>
  <c r="U39" i="11" s="1"/>
  <c r="R44" i="11"/>
  <c r="T44" i="11" s="1"/>
  <c r="U44" i="11" s="1"/>
  <c r="W44" i="11"/>
  <c r="Y44" i="11" s="1"/>
  <c r="W49" i="11"/>
  <c r="Y49" i="11" s="1"/>
  <c r="W30" i="11"/>
  <c r="Y30" i="11" s="1"/>
  <c r="W42" i="11"/>
  <c r="Y42" i="11" s="1"/>
  <c r="R52" i="11"/>
  <c r="T52" i="11" s="1"/>
  <c r="U52" i="11" s="1"/>
  <c r="R24" i="11"/>
  <c r="T24" i="11" s="1"/>
  <c r="U24" i="11" s="1"/>
  <c r="R12" i="11"/>
  <c r="T12" i="11" s="1"/>
  <c r="U12" i="11" s="1"/>
  <c r="W21" i="11"/>
  <c r="Y21" i="11" s="1"/>
  <c r="R26" i="11"/>
  <c r="T26" i="11" s="1"/>
  <c r="U26" i="11" s="1"/>
  <c r="R34" i="11"/>
  <c r="T34" i="11" s="1"/>
  <c r="U34" i="11" s="1"/>
  <c r="R49" i="11"/>
  <c r="T49" i="11" s="1"/>
  <c r="U49" i="11" s="1"/>
  <c r="R51" i="11"/>
  <c r="T51" i="11" s="1"/>
  <c r="U51" i="11" s="1"/>
  <c r="W51" i="11"/>
  <c r="Y51" i="11" s="1"/>
  <c r="H67" i="11"/>
  <c r="R10" i="11"/>
  <c r="T10" i="11" s="1"/>
  <c r="U10" i="11" s="1"/>
  <c r="C14" i="9" s="1"/>
  <c r="C16" i="9" s="1"/>
  <c r="F18" i="9" s="1"/>
  <c r="W11" i="11"/>
  <c r="Y11" i="11" s="1"/>
  <c r="R29" i="11"/>
  <c r="T29" i="11" s="1"/>
  <c r="U29" i="11" s="1"/>
  <c r="W29" i="11"/>
  <c r="Y29" i="11" s="1"/>
  <c r="W37" i="11"/>
  <c r="Y37" i="11" s="1"/>
  <c r="R38" i="11"/>
  <c r="T38" i="11" s="1"/>
  <c r="U38" i="11" s="1"/>
  <c r="W27" i="11"/>
  <c r="Y27" i="11" s="1"/>
  <c r="R35" i="11"/>
  <c r="T35" i="11" s="1"/>
  <c r="U35" i="11" s="1"/>
  <c r="R41" i="11"/>
  <c r="T41" i="11" s="1"/>
  <c r="U41" i="11" s="1"/>
  <c r="W40" i="11"/>
  <c r="Y40" i="11" s="1"/>
  <c r="R43" i="11"/>
  <c r="T43" i="11" s="1"/>
  <c r="U43" i="11" s="1"/>
  <c r="W32" i="11"/>
  <c r="Y32" i="11" s="1"/>
  <c r="W46" i="11"/>
  <c r="Y46" i="11" s="1"/>
  <c r="R46" i="11"/>
  <c r="T46" i="11" s="1"/>
  <c r="U46" i="11" s="1"/>
  <c r="W60" i="11"/>
  <c r="Y60" i="11" s="1"/>
  <c r="R56" i="11"/>
  <c r="T56" i="11" s="1"/>
  <c r="U56" i="11" s="1"/>
  <c r="R58" i="11"/>
  <c r="T58" i="11" s="1"/>
  <c r="U58" i="11" s="1"/>
  <c r="W64" i="11"/>
  <c r="Y64" i="11" s="1"/>
  <c r="W62" i="11"/>
  <c r="Y62" i="11" s="1"/>
  <c r="H17" i="17"/>
  <c r="G21" i="17"/>
  <c r="G15" i="17"/>
  <c r="X35" i="17"/>
  <c r="Y35" i="17" s="1"/>
  <c r="G19" i="17"/>
  <c r="G28" i="17"/>
  <c r="G41" i="17"/>
  <c r="T22" i="17"/>
  <c r="H23" i="17"/>
  <c r="T44" i="17"/>
  <c r="H16" i="17"/>
  <c r="H14" i="17"/>
  <c r="H15" i="17"/>
  <c r="I15" i="17" s="1"/>
  <c r="G20" i="17"/>
  <c r="H27" i="17"/>
  <c r="G30" i="17"/>
  <c r="G45" i="17"/>
  <c r="G53" i="17"/>
  <c r="G49" i="17"/>
  <c r="G29" i="17"/>
  <c r="G52" i="17"/>
  <c r="G56" i="17"/>
  <c r="H25" i="17"/>
  <c r="H33" i="17"/>
  <c r="AA33" i="17" s="1"/>
  <c r="G40" i="17"/>
  <c r="H11" i="17"/>
  <c r="D12" i="9" s="1"/>
  <c r="H24" i="17"/>
  <c r="H32" i="17"/>
  <c r="G34" i="17"/>
  <c r="L34" i="17" s="1"/>
  <c r="M34" i="17" s="1"/>
  <c r="H31" i="17"/>
  <c r="H21" i="17"/>
  <c r="I21" i="17" s="1"/>
  <c r="N22" i="17"/>
  <c r="G27" i="17"/>
  <c r="N35" i="17"/>
  <c r="G51" i="17"/>
  <c r="D58" i="17"/>
  <c r="D60" i="17" s="1"/>
  <c r="E69" i="11" s="1"/>
  <c r="G12" i="17"/>
  <c r="G17" i="17"/>
  <c r="G18" i="17"/>
  <c r="T18" i="17" s="1"/>
  <c r="H20" i="17"/>
  <c r="G26" i="17"/>
  <c r="H29" i="17"/>
  <c r="H34" i="17"/>
  <c r="G38" i="17"/>
  <c r="G39" i="17"/>
  <c r="E58" i="17"/>
  <c r="E60" i="17" s="1"/>
  <c r="F69" i="11" s="1"/>
  <c r="G16" i="17"/>
  <c r="G25" i="17"/>
  <c r="H28" i="17"/>
  <c r="I28" i="17" s="1"/>
  <c r="T35" i="17"/>
  <c r="G37" i="17"/>
  <c r="T41" i="17"/>
  <c r="T47" i="17"/>
  <c r="F58" i="17"/>
  <c r="G14" i="17"/>
  <c r="G24" i="17"/>
  <c r="G32" i="17"/>
  <c r="G43" i="17"/>
  <c r="G23" i="17"/>
  <c r="G31" i="17"/>
  <c r="G36" i="17"/>
  <c r="H38" i="17"/>
  <c r="G42" i="17"/>
  <c r="T45" i="17"/>
  <c r="G48" i="17"/>
  <c r="G55" i="17"/>
  <c r="N13" i="17"/>
  <c r="T13" i="17"/>
  <c r="I13" i="17"/>
  <c r="V13" i="17"/>
  <c r="X13" i="17" s="1"/>
  <c r="I33" i="17"/>
  <c r="AB33" i="17" s="1"/>
  <c r="G46" i="17"/>
  <c r="V47" i="17"/>
  <c r="X47" i="17" s="1"/>
  <c r="G11" i="17"/>
  <c r="H39" i="17"/>
  <c r="T54" i="17"/>
  <c r="I18" i="17"/>
  <c r="V22" i="17"/>
  <c r="X22" i="17" s="1"/>
  <c r="H36" i="17"/>
  <c r="N50" i="17"/>
  <c r="N54" i="17"/>
  <c r="T50" i="17"/>
  <c r="S58" i="17"/>
  <c r="S60" i="17" s="1"/>
  <c r="S7" i="17" s="1"/>
  <c r="H12" i="17"/>
  <c r="N44" i="17"/>
  <c r="N47" i="17"/>
  <c r="V50" i="17"/>
  <c r="X50" i="17" s="1"/>
  <c r="Y44" i="17"/>
  <c r="H53" i="17"/>
  <c r="H48" i="17"/>
  <c r="H44" i="17"/>
  <c r="H43" i="17"/>
  <c r="H56" i="17"/>
  <c r="H52" i="17"/>
  <c r="H47" i="17"/>
  <c r="I47" i="17" s="1"/>
  <c r="H42" i="17"/>
  <c r="H57" i="17"/>
  <c r="H55" i="17"/>
  <c r="H51" i="17"/>
  <c r="H46" i="17"/>
  <c r="H41" i="17"/>
  <c r="H37" i="17"/>
  <c r="H54" i="17"/>
  <c r="I54" i="17" s="1"/>
  <c r="H50" i="17"/>
  <c r="I50" i="17" s="1"/>
  <c r="H49" i="17"/>
  <c r="I49" i="17" s="1"/>
  <c r="H45" i="17"/>
  <c r="I45" i="17" s="1"/>
  <c r="H40" i="17"/>
  <c r="I40" i="17" s="1"/>
  <c r="H18" i="17"/>
  <c r="H22" i="17"/>
  <c r="H26" i="17"/>
  <c r="T27" i="17"/>
  <c r="H30" i="17"/>
  <c r="H35" i="17"/>
  <c r="V54" i="17"/>
  <c r="X54" i="17" s="1"/>
  <c r="T56" i="17"/>
  <c r="V48" i="17" l="1"/>
  <c r="X48" i="17" s="1"/>
  <c r="Y48" i="17" s="1"/>
  <c r="L48" i="17"/>
  <c r="M48" i="17" s="1"/>
  <c r="V52" i="17"/>
  <c r="X52" i="17" s="1"/>
  <c r="L52" i="17"/>
  <c r="M52" i="17" s="1"/>
  <c r="N52" i="17" s="1"/>
  <c r="L46" i="17"/>
  <c r="M46" i="17" s="1"/>
  <c r="N46" i="17" s="1"/>
  <c r="I24" i="17"/>
  <c r="L24" i="17"/>
  <c r="M24" i="17" s="1"/>
  <c r="N24" i="17" s="1"/>
  <c r="L26" i="17"/>
  <c r="M26" i="17" s="1"/>
  <c r="N26" i="17" s="1"/>
  <c r="V27" i="17"/>
  <c r="X27" i="17" s="1"/>
  <c r="Y27" i="17" s="1"/>
  <c r="L27" i="17"/>
  <c r="M27" i="17" s="1"/>
  <c r="N27" i="17" s="1"/>
  <c r="AA27" i="17" s="1"/>
  <c r="T29" i="17"/>
  <c r="L29" i="17"/>
  <c r="M29" i="17" s="1"/>
  <c r="N29" i="17" s="1"/>
  <c r="T42" i="17"/>
  <c r="L42" i="17"/>
  <c r="M42" i="17" s="1"/>
  <c r="T14" i="17"/>
  <c r="L14" i="17"/>
  <c r="M14" i="17" s="1"/>
  <c r="N14" i="17" s="1"/>
  <c r="T25" i="17"/>
  <c r="L25" i="17"/>
  <c r="M25" i="17" s="1"/>
  <c r="N25" i="17" s="1"/>
  <c r="V49" i="17"/>
  <c r="X49" i="17" s="1"/>
  <c r="Y49" i="17" s="1"/>
  <c r="L49" i="17"/>
  <c r="M49" i="17" s="1"/>
  <c r="N49" i="17" s="1"/>
  <c r="AA49" i="17" s="1"/>
  <c r="V15" i="17"/>
  <c r="X15" i="17" s="1"/>
  <c r="Y15" i="17" s="1"/>
  <c r="L15" i="17"/>
  <c r="M15" i="17" s="1"/>
  <c r="N15" i="17" s="1"/>
  <c r="V21" i="17"/>
  <c r="X21" i="17" s="1"/>
  <c r="L21" i="17"/>
  <c r="M21" i="17" s="1"/>
  <c r="N21" i="17" s="1"/>
  <c r="V32" i="17"/>
  <c r="X32" i="17" s="1"/>
  <c r="L32" i="17"/>
  <c r="M32" i="17" s="1"/>
  <c r="V19" i="17"/>
  <c r="X19" i="17" s="1"/>
  <c r="L19" i="17"/>
  <c r="M19" i="17" s="1"/>
  <c r="N19" i="17" s="1"/>
  <c r="V17" i="17"/>
  <c r="X17" i="17" s="1"/>
  <c r="L17" i="17"/>
  <c r="M17" i="17" s="1"/>
  <c r="T15" i="17"/>
  <c r="T40" i="17"/>
  <c r="L40" i="17"/>
  <c r="M40" i="17" s="1"/>
  <c r="N40" i="17" s="1"/>
  <c r="V45" i="17"/>
  <c r="X45" i="17" s="1"/>
  <c r="Y45" i="17" s="1"/>
  <c r="L45" i="17"/>
  <c r="M45" i="17" s="1"/>
  <c r="N45" i="17" s="1"/>
  <c r="AA45" i="17" s="1"/>
  <c r="T16" i="17"/>
  <c r="L16" i="17"/>
  <c r="M16" i="17" s="1"/>
  <c r="T21" i="17"/>
  <c r="V42" i="17"/>
  <c r="X42" i="17" s="1"/>
  <c r="I29" i="17"/>
  <c r="V31" i="17"/>
  <c r="X31" i="17" s="1"/>
  <c r="Y31" i="17" s="1"/>
  <c r="L31" i="17"/>
  <c r="M31" i="17" s="1"/>
  <c r="V39" i="17"/>
  <c r="X39" i="17" s="1"/>
  <c r="Y39" i="17" s="1"/>
  <c r="L39" i="17"/>
  <c r="M39" i="17" s="1"/>
  <c r="T12" i="17"/>
  <c r="L12" i="17"/>
  <c r="M12" i="17" s="1"/>
  <c r="T30" i="17"/>
  <c r="L30" i="17"/>
  <c r="M30" i="17" s="1"/>
  <c r="N18" i="17"/>
  <c r="L18" i="17"/>
  <c r="M18" i="17" s="1"/>
  <c r="V53" i="17"/>
  <c r="X53" i="17" s="1"/>
  <c r="Y53" i="17" s="1"/>
  <c r="AA53" i="17" s="1"/>
  <c r="L53" i="17"/>
  <c r="M53" i="17" s="1"/>
  <c r="N53" i="17" s="1"/>
  <c r="T36" i="17"/>
  <c r="L36" i="17"/>
  <c r="M36" i="17" s="1"/>
  <c r="T19" i="17"/>
  <c r="V23" i="17"/>
  <c r="X23" i="17" s="1"/>
  <c r="Y23" i="17" s="1"/>
  <c r="L23" i="17"/>
  <c r="M23" i="17" s="1"/>
  <c r="L38" i="17"/>
  <c r="M38" i="17" s="1"/>
  <c r="N38" i="17" s="1"/>
  <c r="I25" i="17"/>
  <c r="V41" i="17"/>
  <c r="X41" i="17" s="1"/>
  <c r="L41" i="17"/>
  <c r="M41" i="17" s="1"/>
  <c r="V25" i="17"/>
  <c r="X25" i="17" s="1"/>
  <c r="T53" i="17"/>
  <c r="T11" i="17"/>
  <c r="D14" i="9" s="1"/>
  <c r="L11" i="17"/>
  <c r="D19" i="9"/>
  <c r="I16" i="17"/>
  <c r="T55" i="17"/>
  <c r="L55" i="17"/>
  <c r="M55" i="17" s="1"/>
  <c r="V43" i="17"/>
  <c r="X43" i="17" s="1"/>
  <c r="Y43" i="17" s="1"/>
  <c r="L43" i="17"/>
  <c r="M43" i="17" s="1"/>
  <c r="N43" i="17" s="1"/>
  <c r="T37" i="17"/>
  <c r="L37" i="17"/>
  <c r="M37" i="17" s="1"/>
  <c r="N37" i="17" s="1"/>
  <c r="T51" i="17"/>
  <c r="L51" i="17"/>
  <c r="M51" i="17" s="1"/>
  <c r="L56" i="17"/>
  <c r="M56" i="17" s="1"/>
  <c r="N56" i="17" s="1"/>
  <c r="AA56" i="17" s="1"/>
  <c r="T20" i="17"/>
  <c r="L20" i="17"/>
  <c r="M20" i="17" s="1"/>
  <c r="T28" i="17"/>
  <c r="L28" i="17"/>
  <c r="M28" i="17" s="1"/>
  <c r="N28" i="17" s="1"/>
  <c r="O32" i="11"/>
  <c r="O27" i="11"/>
  <c r="O12" i="11"/>
  <c r="O17" i="11"/>
  <c r="O56" i="11"/>
  <c r="O53" i="11"/>
  <c r="O39" i="11"/>
  <c r="O23" i="11"/>
  <c r="O59" i="11"/>
  <c r="N41" i="17"/>
  <c r="V30" i="17"/>
  <c r="X30" i="17" s="1"/>
  <c r="V29" i="17"/>
  <c r="X29" i="17" s="1"/>
  <c r="N55" i="17"/>
  <c r="I12" i="17"/>
  <c r="AB12" i="17" s="1"/>
  <c r="CE5" i="1" s="1"/>
  <c r="T17" i="17"/>
  <c r="I19" i="17"/>
  <c r="V40" i="17"/>
  <c r="X40" i="17" s="1"/>
  <c r="F60" i="17"/>
  <c r="G69" i="11"/>
  <c r="V51" i="17"/>
  <c r="X51" i="17" s="1"/>
  <c r="V28" i="17"/>
  <c r="X28" i="17" s="1"/>
  <c r="O55" i="11"/>
  <c r="O18" i="11"/>
  <c r="O33" i="11"/>
  <c r="O20" i="11"/>
  <c r="O48" i="11"/>
  <c r="W67" i="11"/>
  <c r="O34" i="11"/>
  <c r="O31" i="11"/>
  <c r="O11" i="11"/>
  <c r="O14" i="11"/>
  <c r="O21" i="11"/>
  <c r="O61" i="11"/>
  <c r="O58" i="11"/>
  <c r="O65" i="11"/>
  <c r="R67" i="11"/>
  <c r="R69" i="11" s="1"/>
  <c r="O51" i="11"/>
  <c r="O63" i="11"/>
  <c r="O30" i="11"/>
  <c r="O43" i="11"/>
  <c r="O38" i="11"/>
  <c r="O25" i="11"/>
  <c r="O15" i="11"/>
  <c r="O50" i="11"/>
  <c r="O24" i="11"/>
  <c r="O29" i="11"/>
  <c r="M67" i="11"/>
  <c r="O62" i="11"/>
  <c r="O46" i="11"/>
  <c r="O45" i="11"/>
  <c r="O49" i="11"/>
  <c r="O41" i="11"/>
  <c r="O19" i="11"/>
  <c r="O28" i="11"/>
  <c r="O52" i="11"/>
  <c r="O36" i="11"/>
  <c r="O60" i="11"/>
  <c r="O44" i="11"/>
  <c r="O35" i="11"/>
  <c r="O26" i="11"/>
  <c r="O64" i="11"/>
  <c r="O57" i="11"/>
  <c r="O40" i="11"/>
  <c r="O47" i="11"/>
  <c r="O54" i="11"/>
  <c r="O42" i="11"/>
  <c r="O37" i="11"/>
  <c r="O16" i="11"/>
  <c r="O22" i="11"/>
  <c r="O13" i="11"/>
  <c r="V18" i="17"/>
  <c r="X18" i="17" s="1"/>
  <c r="T49" i="17"/>
  <c r="N30" i="17"/>
  <c r="I34" i="17"/>
  <c r="I48" i="17"/>
  <c r="AB48" i="17" s="1"/>
  <c r="CE27" i="1" s="1"/>
  <c r="T32" i="17"/>
  <c r="T46" i="17"/>
  <c r="T23" i="17"/>
  <c r="I53" i="17"/>
  <c r="T52" i="17"/>
  <c r="N20" i="17"/>
  <c r="N17" i="17"/>
  <c r="I32" i="17"/>
  <c r="AB32" i="17" s="1"/>
  <c r="CE50" i="1" s="1"/>
  <c r="N34" i="17"/>
  <c r="V56" i="17"/>
  <c r="X56" i="17" s="1"/>
  <c r="I27" i="17"/>
  <c r="AB27" i="17" s="1"/>
  <c r="CE20" i="1" s="1"/>
  <c r="V34" i="17"/>
  <c r="X34" i="17" s="1"/>
  <c r="Y34" i="17" s="1"/>
  <c r="I17" i="17"/>
  <c r="T24" i="17"/>
  <c r="V20" i="17"/>
  <c r="X20" i="17" s="1"/>
  <c r="Y20" i="17" s="1"/>
  <c r="N42" i="17"/>
  <c r="T39" i="17"/>
  <c r="I56" i="17"/>
  <c r="AB56" i="17" s="1"/>
  <c r="CE40" i="1" s="1"/>
  <c r="V24" i="17"/>
  <c r="X24" i="17" s="1"/>
  <c r="AB24" i="17" s="1"/>
  <c r="CE15" i="1" s="1"/>
  <c r="T48" i="17"/>
  <c r="N48" i="17"/>
  <c r="N39" i="17"/>
  <c r="I36" i="17"/>
  <c r="I20" i="17"/>
  <c r="T34" i="17"/>
  <c r="N32" i="17"/>
  <c r="I39" i="17"/>
  <c r="V37" i="17"/>
  <c r="X37" i="17" s="1"/>
  <c r="Y37" i="17" s="1"/>
  <c r="N12" i="17"/>
  <c r="V12" i="17"/>
  <c r="X12" i="17" s="1"/>
  <c r="Y12" i="17" s="1"/>
  <c r="I55" i="17"/>
  <c r="V38" i="17"/>
  <c r="X38" i="17" s="1"/>
  <c r="I51" i="17"/>
  <c r="AB51" i="17" s="1"/>
  <c r="CE57" i="1" s="1"/>
  <c r="I23" i="17"/>
  <c r="AB23" i="17" s="1"/>
  <c r="CE56" i="1" s="1"/>
  <c r="AA15" i="17"/>
  <c r="Y19" i="17"/>
  <c r="T43" i="17"/>
  <c r="I38" i="17"/>
  <c r="I31" i="17"/>
  <c r="I14" i="17"/>
  <c r="AB14" i="17" s="1"/>
  <c r="CE6" i="1" s="1"/>
  <c r="T38" i="17"/>
  <c r="N36" i="17"/>
  <c r="N16" i="17"/>
  <c r="N51" i="17"/>
  <c r="V36" i="17"/>
  <c r="X36" i="17" s="1"/>
  <c r="Y36" i="17" s="1"/>
  <c r="V14" i="17"/>
  <c r="X14" i="17" s="1"/>
  <c r="Y14" i="17" s="1"/>
  <c r="AA14" i="17" s="1"/>
  <c r="T31" i="17"/>
  <c r="N31" i="17"/>
  <c r="N23" i="17"/>
  <c r="V26" i="17"/>
  <c r="X26" i="17" s="1"/>
  <c r="Y26" i="17" s="1"/>
  <c r="V55" i="17"/>
  <c r="X55" i="17" s="1"/>
  <c r="AB55" i="17" s="1"/>
  <c r="CE35" i="1" s="1"/>
  <c r="T26" i="17"/>
  <c r="I26" i="17"/>
  <c r="V16" i="17"/>
  <c r="X16" i="17" s="1"/>
  <c r="AB16" i="17" s="1"/>
  <c r="CE77" i="1" s="1"/>
  <c r="AA35" i="17"/>
  <c r="I35" i="17"/>
  <c r="AB35" i="17" s="1"/>
  <c r="CE26" i="1" s="1"/>
  <c r="AB50" i="17"/>
  <c r="CE55" i="1" s="1"/>
  <c r="Y50" i="17"/>
  <c r="AA50" i="17" s="1"/>
  <c r="Y47" i="17"/>
  <c r="AA47" i="17" s="1"/>
  <c r="AB47" i="17"/>
  <c r="CE60" i="1" s="1"/>
  <c r="Y30" i="17"/>
  <c r="Y22" i="17"/>
  <c r="AA22" i="17" s="1"/>
  <c r="Y41" i="17"/>
  <c r="AA41" i="17" s="1"/>
  <c r="Y21" i="17"/>
  <c r="AA21" i="17" s="1"/>
  <c r="AB21" i="17"/>
  <c r="CE48" i="1" s="1"/>
  <c r="Y56" i="17"/>
  <c r="G58" i="17"/>
  <c r="G60" i="17" s="1"/>
  <c r="H69" i="11" s="1"/>
  <c r="I11" i="17"/>
  <c r="V11" i="17"/>
  <c r="I43" i="17"/>
  <c r="AB43" i="17" s="1"/>
  <c r="CE34" i="1" s="1"/>
  <c r="I30" i="17"/>
  <c r="AB30" i="17" s="1"/>
  <c r="CE25" i="1" s="1"/>
  <c r="I22" i="17"/>
  <c r="AB22" i="17" s="1"/>
  <c r="CE12" i="1" s="1"/>
  <c r="I41" i="17"/>
  <c r="AB41" i="17" s="1"/>
  <c r="CE32" i="1" s="1"/>
  <c r="I46" i="17"/>
  <c r="V46" i="17"/>
  <c r="X46" i="17" s="1"/>
  <c r="Y32" i="17"/>
  <c r="AB13" i="17"/>
  <c r="CE58" i="1" s="1"/>
  <c r="Y13" i="17"/>
  <c r="AA13" i="17" s="1"/>
  <c r="Y40" i="17"/>
  <c r="AA40" i="17" s="1"/>
  <c r="AB40" i="17"/>
  <c r="CE72" i="1" s="1"/>
  <c r="AB54" i="17"/>
  <c r="CE46" i="1" s="1"/>
  <c r="Y54" i="17"/>
  <c r="AA54" i="17" s="1"/>
  <c r="AA44" i="17"/>
  <c r="I44" i="17"/>
  <c r="AB44" i="17" s="1"/>
  <c r="CE62" i="1" s="1"/>
  <c r="Y52" i="17"/>
  <c r="Y17" i="17"/>
  <c r="AB17" i="17"/>
  <c r="CE52" i="1" s="1"/>
  <c r="Y51" i="17"/>
  <c r="Y29" i="17"/>
  <c r="AB29" i="17"/>
  <c r="CE79" i="1" s="1"/>
  <c r="I52" i="17"/>
  <c r="AB52" i="17" s="1"/>
  <c r="CE8" i="1" s="1"/>
  <c r="Y42" i="17"/>
  <c r="AA42" i="17" s="1"/>
  <c r="AA57" i="17"/>
  <c r="I57" i="17"/>
  <c r="Y25" i="17"/>
  <c r="AA25" i="17" s="1"/>
  <c r="AB25" i="17"/>
  <c r="CE47" i="1" s="1"/>
  <c r="I42" i="17"/>
  <c r="AB42" i="17" s="1"/>
  <c r="CE49" i="1" s="1"/>
  <c r="AB18" i="17"/>
  <c r="CE9" i="1" s="1"/>
  <c r="Y18" i="17"/>
  <c r="AA18" i="17" s="1"/>
  <c r="I37" i="17"/>
  <c r="M11" i="17" l="1"/>
  <c r="L58" i="17"/>
  <c r="L60" i="17" s="1"/>
  <c r="AA19" i="17"/>
  <c r="AA37" i="17"/>
  <c r="AB28" i="17"/>
  <c r="CE22" i="1" s="1"/>
  <c r="AB39" i="17"/>
  <c r="CE31" i="1" s="1"/>
  <c r="AB45" i="17"/>
  <c r="CE78" i="1" s="1"/>
  <c r="AB49" i="17"/>
  <c r="CE61" i="1" s="1"/>
  <c r="AB53" i="17"/>
  <c r="CE36" i="1" s="1"/>
  <c r="AB31" i="17"/>
  <c r="CE42" i="1" s="1"/>
  <c r="AB38" i="17"/>
  <c r="CE29" i="1" s="1"/>
  <c r="AB19" i="17"/>
  <c r="CE11" i="1" s="1"/>
  <c r="AA30" i="17"/>
  <c r="M69" i="11"/>
  <c r="AB15" i="17"/>
  <c r="CE53" i="1" s="1"/>
  <c r="AA48" i="17"/>
  <c r="AA34" i="17"/>
  <c r="AA20" i="17"/>
  <c r="Y55" i="17"/>
  <c r="AA55" i="17" s="1"/>
  <c r="AB37" i="17"/>
  <c r="CE13" i="1" s="1"/>
  <c r="Y28" i="17"/>
  <c r="AA28" i="17" s="1"/>
  <c r="AA36" i="17"/>
  <c r="Y38" i="17"/>
  <c r="AA38" i="17" s="1"/>
  <c r="AA39" i="17"/>
  <c r="AB20" i="17"/>
  <c r="CE63" i="1" s="1"/>
  <c r="N67" i="11"/>
  <c r="O10" i="11"/>
  <c r="AB34" i="17"/>
  <c r="CE23" i="1" s="1"/>
  <c r="AA12" i="17"/>
  <c r="Y24" i="17"/>
  <c r="AA24" i="17" s="1"/>
  <c r="AA29" i="17"/>
  <c r="AA31" i="17"/>
  <c r="AA52" i="17"/>
  <c r="AA23" i="17"/>
  <c r="AA26" i="17"/>
  <c r="AA51" i="17"/>
  <c r="AA32" i="17"/>
  <c r="AB26" i="17"/>
  <c r="CE16" i="1" s="1"/>
  <c r="AA17" i="17"/>
  <c r="AA43" i="17"/>
  <c r="Y16" i="17"/>
  <c r="AA16" i="17" s="1"/>
  <c r="AB36" i="17"/>
  <c r="CE24" i="1" s="1"/>
  <c r="AB46" i="17"/>
  <c r="CE59" i="1" s="1"/>
  <c r="Y46" i="17"/>
  <c r="AA46" i="17" s="1"/>
  <c r="V58" i="17"/>
  <c r="X11" i="17"/>
  <c r="I58" i="17"/>
  <c r="G7" i="17"/>
  <c r="M58" i="17" l="1"/>
  <c r="M60" i="17" s="1"/>
  <c r="M7" i="17" s="1"/>
  <c r="N11" i="17"/>
  <c r="D13" i="9" s="1"/>
  <c r="V60" i="17"/>
  <c r="W69" i="11"/>
  <c r="I60" i="17"/>
  <c r="I7" i="17" s="1"/>
  <c r="X58" i="17"/>
  <c r="Y11" i="17"/>
  <c r="AB11" i="17"/>
  <c r="AB58" i="17" s="1"/>
  <c r="AA11" i="17" l="1"/>
  <c r="D15" i="9"/>
  <c r="D16" i="9" s="1"/>
  <c r="F19" i="9" s="1"/>
  <c r="F23" i="9" s="1"/>
  <c r="N69" i="11"/>
  <c r="AB60" i="17"/>
  <c r="X60" i="17"/>
  <c r="X7" i="17" s="1"/>
  <c r="AB7" i="17" l="1"/>
  <c r="B4" i="2" l="1"/>
  <c r="E76" i="2" l="1"/>
  <c r="E77" i="2"/>
  <c r="E79" i="2"/>
  <c r="E74" i="2"/>
  <c r="E72" i="2"/>
  <c r="E75" i="2"/>
  <c r="E81" i="2"/>
  <c r="E78" i="2"/>
  <c r="E73" i="2"/>
  <c r="E67" i="2"/>
  <c r="E66" i="2"/>
  <c r="E65" i="2"/>
  <c r="E57" i="2"/>
  <c r="E40" i="2"/>
  <c r="E41" i="2"/>
  <c r="E42" i="2"/>
  <c r="E58" i="2"/>
  <c r="E47" i="2" l="1"/>
  <c r="E51" i="2" l="1"/>
  <c r="E50" i="2"/>
  <c r="E48" i="2"/>
  <c r="E52" i="2"/>
  <c r="E49" i="2"/>
  <c r="BT95" i="1"/>
  <c r="BU95" i="1"/>
  <c r="BD95" i="1" l="1"/>
  <c r="E37" i="2"/>
  <c r="E36" i="2"/>
  <c r="C12" i="2"/>
  <c r="C13" i="2"/>
  <c r="BE95" i="1" l="1"/>
  <c r="E39" i="2" l="1"/>
  <c r="E38" i="2" l="1"/>
  <c r="D22" i="2" l="1"/>
  <c r="D15" i="2" l="1"/>
  <c r="D31" i="2"/>
  <c r="D33" i="2"/>
  <c r="D19" i="2"/>
  <c r="D26" i="2"/>
  <c r="D24" i="2"/>
  <c r="D14" i="2"/>
  <c r="D30" i="2"/>
  <c r="D29" i="2"/>
  <c r="D21" i="2"/>
  <c r="D32" i="2"/>
  <c r="D16" i="2"/>
  <c r="D23" i="2"/>
  <c r="D25" i="2"/>
  <c r="D28" i="2"/>
  <c r="D20" i="2"/>
  <c r="D27" i="2"/>
  <c r="D18" i="2"/>
  <c r="D17" i="2"/>
  <c r="AH95" i="1"/>
  <c r="AI95" i="1"/>
  <c r="CE95" i="1" l="1"/>
  <c r="E33" i="16"/>
  <c r="D33" i="16"/>
  <c r="C33" i="16"/>
  <c r="E15" i="16"/>
  <c r="D15" i="16"/>
  <c r="C15" i="16"/>
  <c r="B4" i="16"/>
  <c r="E8" i="16" l="1"/>
  <c r="E9" i="16" s="1"/>
  <c r="D8" i="16"/>
  <c r="D9" i="16" s="1"/>
  <c r="C8" i="16"/>
  <c r="E26" i="16"/>
  <c r="E27" i="16" s="1"/>
  <c r="C28" i="16"/>
  <c r="E34" i="16" s="1"/>
  <c r="E36" i="16" s="1"/>
  <c r="H26" i="16"/>
  <c r="C26" i="16"/>
  <c r="C27" i="16" s="1"/>
  <c r="D26" i="16"/>
  <c r="D27" i="16" s="1"/>
  <c r="F33" i="16"/>
  <c r="F15" i="16"/>
  <c r="C34" i="16" l="1"/>
  <c r="C36" i="16" s="1"/>
  <c r="E28" i="16"/>
  <c r="E30" i="16" s="1"/>
  <c r="E38" i="16" s="1"/>
  <c r="C30" i="16"/>
  <c r="F8" i="16"/>
  <c r="F26" i="16"/>
  <c r="D28" i="16"/>
  <c r="D30" i="16" s="1"/>
  <c r="D34" i="16"/>
  <c r="D36" i="16" s="1"/>
  <c r="C9" i="16"/>
  <c r="C38" i="16" l="1"/>
  <c r="F36" i="16"/>
  <c r="D38" i="16"/>
  <c r="F30" i="16"/>
  <c r="F38" i="16" l="1"/>
  <c r="CK95" i="1" l="1"/>
  <c r="BL95" i="1" l="1"/>
  <c r="BK95" i="1"/>
  <c r="BJ95" i="1"/>
  <c r="BH95" i="1"/>
  <c r="BG95" i="1"/>
  <c r="BF95" i="1"/>
  <c r="BC95" i="1"/>
  <c r="BB95" i="1"/>
  <c r="BA95" i="1"/>
  <c r="AZ95" i="1"/>
  <c r="AY95" i="1"/>
  <c r="AX95" i="1"/>
  <c r="AW95" i="1"/>
  <c r="AV95" i="1"/>
  <c r="AU95" i="1"/>
  <c r="AT95" i="1"/>
  <c r="AS95" i="1"/>
  <c r="AR95" i="1"/>
  <c r="AQ95" i="1"/>
  <c r="AP95" i="1"/>
  <c r="AO95" i="1"/>
  <c r="AN95" i="1"/>
  <c r="AM95" i="1"/>
  <c r="AL95" i="1"/>
  <c r="AK95" i="1"/>
  <c r="AJ95" i="1"/>
  <c r="AG95" i="1"/>
  <c r="AF95" i="1"/>
  <c r="AE95" i="1"/>
  <c r="AD95" i="1"/>
  <c r="AC95" i="1"/>
  <c r="AB95" i="1"/>
  <c r="AA95" i="1"/>
  <c r="Z95" i="1"/>
  <c r="Y95" i="1"/>
  <c r="X95" i="1"/>
  <c r="W95" i="1"/>
  <c r="V95" i="1"/>
  <c r="U95" i="1"/>
  <c r="T95" i="1"/>
  <c r="S95" i="1"/>
  <c r="R95" i="1"/>
  <c r="Q95" i="1"/>
  <c r="P95" i="1"/>
  <c r="O95" i="1"/>
  <c r="M95" i="1"/>
  <c r="L95" i="1"/>
  <c r="K95" i="1"/>
  <c r="H95" i="1"/>
  <c r="G95" i="1"/>
  <c r="F95" i="1"/>
  <c r="E95" i="1"/>
  <c r="D95" i="1"/>
  <c r="CG95" i="1"/>
  <c r="CF95" i="1"/>
  <c r="CS95" i="1"/>
  <c r="CR95" i="1"/>
  <c r="CQ95" i="1"/>
  <c r="CP95" i="1"/>
  <c r="CN95" i="1"/>
  <c r="CM95" i="1"/>
  <c r="CL95" i="1"/>
  <c r="D12" i="2" l="1"/>
  <c r="E12" i="2" s="1"/>
  <c r="D13" i="2"/>
  <c r="E13" i="2" s="1"/>
  <c r="C31" i="2"/>
  <c r="C30" i="2"/>
  <c r="C27" i="2"/>
  <c r="C26" i="2"/>
  <c r="C25" i="2"/>
  <c r="C24" i="2"/>
  <c r="C23" i="2"/>
  <c r="C22" i="2"/>
  <c r="C21" i="2"/>
  <c r="C20" i="2"/>
  <c r="C19" i="2"/>
  <c r="C18" i="2"/>
  <c r="C17" i="2"/>
  <c r="C16" i="2"/>
  <c r="C29" i="2"/>
  <c r="C28" i="2"/>
  <c r="C33" i="2" l="1"/>
  <c r="C32" i="2"/>
  <c r="C7" i="2"/>
  <c r="C14" i="2"/>
  <c r="C15" i="2" l="1"/>
  <c r="C8" i="2"/>
  <c r="C9" i="2" l="1"/>
  <c r="E26" i="2" l="1"/>
  <c r="E24" i="2"/>
  <c r="E29" i="2"/>
  <c r="E16" i="2"/>
  <c r="E19" i="2"/>
  <c r="E17" i="2"/>
  <c r="E30" i="2"/>
  <c r="E28" i="2"/>
  <c r="E31" i="2"/>
  <c r="D8" i="2"/>
  <c r="E8" i="2" s="1"/>
  <c r="E20" i="2"/>
  <c r="E21" i="2"/>
  <c r="E27" i="2"/>
  <c r="E22" i="2"/>
  <c r="E15" i="2"/>
  <c r="E32" i="2"/>
  <c r="E18" i="2"/>
  <c r="D9" i="2"/>
  <c r="E9" i="2" s="1"/>
  <c r="D7" i="2"/>
  <c r="E25" i="2"/>
  <c r="E23" i="2"/>
  <c r="E33" i="2"/>
  <c r="E14" i="2"/>
  <c r="I14" i="2" s="1"/>
  <c r="I20" i="2" l="1"/>
  <c r="E34" i="2"/>
  <c r="D10" i="2"/>
  <c r="D58" i="2" s="1"/>
  <c r="E43" i="2"/>
  <c r="E7" i="2"/>
  <c r="E10" i="2" s="1"/>
  <c r="D57" i="2" l="1"/>
  <c r="E45" i="2"/>
  <c r="E53" i="2" l="1"/>
  <c r="E60" i="2" s="1"/>
  <c r="BM95" i="1"/>
  <c r="E62" i="2" l="1"/>
  <c r="E61" i="2"/>
  <c r="CA95" i="1"/>
  <c r="BZ95" i="1"/>
  <c r="BX95" i="1" l="1"/>
  <c r="BX3" i="1" s="1"/>
  <c r="BR95" i="1"/>
  <c r="BQ95" i="1"/>
  <c r="BS95" i="1"/>
  <c r="BS3" i="1" s="1"/>
  <c r="J10" i="11" l="1"/>
  <c r="J67" i="11" l="1"/>
  <c r="J69" i="11" s="1"/>
  <c r="T67" i="11"/>
  <c r="T69" i="11" s="1"/>
  <c r="Z10" i="11"/>
  <c r="AC10" i="11"/>
  <c r="AB10" i="11" s="1"/>
  <c r="AC18" i="11"/>
  <c r="Z19" i="11"/>
  <c r="AC20" i="11"/>
  <c r="AC25" i="11"/>
  <c r="Z15" i="11"/>
  <c r="AC23" i="11"/>
  <c r="AC29" i="11"/>
  <c r="AC19" i="11"/>
  <c r="AC30" i="11"/>
  <c r="AC58" i="11"/>
  <c r="AC48" i="11"/>
  <c r="AC38" i="11"/>
  <c r="AC27" i="11"/>
  <c r="Z20" i="11"/>
  <c r="Z16" i="11"/>
  <c r="Z38" i="11"/>
  <c r="Z26" i="11"/>
  <c r="AC16" i="11"/>
  <c r="Z29" i="11"/>
  <c r="Z48" i="11"/>
  <c r="AC24" i="11"/>
  <c r="AC26" i="11"/>
  <c r="AC65" i="11"/>
  <c r="Z24" i="11"/>
  <c r="AC37" i="11"/>
  <c r="Z23" i="11"/>
  <c r="Z59" i="11"/>
  <c r="Z25" i="11"/>
  <c r="AC40" i="11"/>
  <c r="Z18" i="11"/>
  <c r="AC59" i="11"/>
  <c r="AC15" i="11"/>
  <c r="AC53" i="11"/>
  <c r="Z30" i="11"/>
  <c r="Z44" i="11"/>
  <c r="AC45" i="11"/>
  <c r="Z58" i="11"/>
  <c r="Z37" i="11"/>
  <c r="AC22" i="11"/>
  <c r="AC46" i="11"/>
  <c r="Z33" i="11"/>
  <c r="AC63" i="11"/>
  <c r="Z54" i="11"/>
  <c r="Z62" i="11"/>
  <c r="AC39" i="11"/>
  <c r="AC35" i="11"/>
  <c r="Z47" i="11"/>
  <c r="Y67" i="11"/>
  <c r="Y69" i="11" s="1"/>
  <c r="AC54" i="11"/>
  <c r="AC62" i="11"/>
  <c r="AC21" i="11"/>
  <c r="AC47" i="11"/>
  <c r="AC34" i="11"/>
  <c r="AC44" i="11"/>
  <c r="AC17" i="11"/>
  <c r="Z11" i="11"/>
  <c r="Z31" i="11"/>
  <c r="AC57" i="11"/>
  <c r="Z21" i="11"/>
  <c r="Z65" i="11"/>
  <c r="Z45" i="11"/>
  <c r="Z49" i="11"/>
  <c r="AC49" i="11"/>
  <c r="Z52" i="11"/>
  <c r="Z13" i="11"/>
  <c r="Z17" i="11"/>
  <c r="Z27" i="11"/>
  <c r="Z14" i="11"/>
  <c r="AC52" i="11"/>
  <c r="Z51" i="11"/>
  <c r="Z41" i="11"/>
  <c r="Z66" i="11"/>
  <c r="AC31" i="11"/>
  <c r="Z60" i="11"/>
  <c r="AC56" i="11"/>
  <c r="AC14" i="11"/>
  <c r="Z61" i="11"/>
  <c r="Z56" i="11"/>
  <c r="AC51" i="11"/>
  <c r="AC41" i="11"/>
  <c r="AC66" i="11"/>
  <c r="AC60" i="11"/>
  <c r="AC50" i="11"/>
  <c r="Z43" i="11"/>
  <c r="Z42" i="11"/>
  <c r="AC61" i="11"/>
  <c r="Z32" i="11"/>
  <c r="AC12" i="11"/>
  <c r="AC64" i="11"/>
  <c r="Z36" i="11"/>
  <c r="Z53" i="11"/>
  <c r="Z40" i="11"/>
  <c r="Z55" i="11"/>
  <c r="Z28" i="11"/>
  <c r="AC28" i="11"/>
  <c r="Z64" i="11"/>
  <c r="Z57" i="11"/>
  <c r="Z50" i="11"/>
  <c r="AC13" i="11"/>
  <c r="AC11" i="11"/>
  <c r="Z34" i="11"/>
  <c r="AC43" i="11"/>
  <c r="AC42" i="11"/>
  <c r="Z22" i="11"/>
  <c r="AC32" i="11"/>
  <c r="CD25" i="1" s="1"/>
  <c r="Z46" i="11"/>
  <c r="AC33" i="11"/>
  <c r="AC36" i="11"/>
  <c r="Z63" i="11"/>
  <c r="Z39" i="11"/>
  <c r="AC55" i="11"/>
  <c r="Z35" i="11"/>
  <c r="Z12" i="11"/>
  <c r="AB47" i="11" l="1"/>
  <c r="CD33" i="1"/>
  <c r="AB25" i="11"/>
  <c r="CD47" i="1"/>
  <c r="AB21" i="11"/>
  <c r="CD48" i="1"/>
  <c r="AB20" i="11"/>
  <c r="CD63" i="1"/>
  <c r="AB57" i="11"/>
  <c r="CD57" i="1"/>
  <c r="AB58" i="11"/>
  <c r="CD8" i="1"/>
  <c r="AB54" i="11"/>
  <c r="CD27" i="1"/>
  <c r="AB53" i="11"/>
  <c r="CD60" i="1"/>
  <c r="AB12" i="11"/>
  <c r="CD58" i="1"/>
  <c r="AB15" i="11"/>
  <c r="CD53" i="1"/>
  <c r="AB51" i="11"/>
  <c r="CD78" i="1"/>
  <c r="AB49" i="11"/>
  <c r="CD34" i="1"/>
  <c r="AB59" i="11"/>
  <c r="CD44" i="1"/>
  <c r="AB29" i="11"/>
  <c r="CD21" i="1"/>
  <c r="AB44" i="11"/>
  <c r="CD72" i="1"/>
  <c r="AB35" i="11"/>
  <c r="CD42" i="1"/>
  <c r="AB26" i="11"/>
  <c r="CD16" i="1"/>
  <c r="AB23" i="11"/>
  <c r="CD56" i="1"/>
  <c r="AB34" i="11"/>
  <c r="CD17" i="1"/>
  <c r="AB40" i="11"/>
  <c r="CD24" i="1"/>
  <c r="AB65" i="11"/>
  <c r="CD40" i="1"/>
  <c r="AB38" i="11"/>
  <c r="CD23" i="1"/>
  <c r="AB48" i="11"/>
  <c r="CD49" i="1"/>
  <c r="AB36" i="11"/>
  <c r="CD50" i="1"/>
  <c r="AB18" i="11"/>
  <c r="CD9" i="1"/>
  <c r="AB11" i="11"/>
  <c r="CD5" i="1"/>
  <c r="AB13" i="11"/>
  <c r="CD7" i="1"/>
  <c r="AB63" i="11"/>
  <c r="CD35" i="1"/>
  <c r="AB19" i="11"/>
  <c r="CD11" i="1"/>
  <c r="AB50" i="11"/>
  <c r="CD62" i="1"/>
  <c r="AB41" i="11"/>
  <c r="CD13" i="1"/>
  <c r="AB46" i="11"/>
  <c r="CD43" i="1"/>
  <c r="AB55" i="11"/>
  <c r="CD61" i="1"/>
  <c r="AB42" i="11"/>
  <c r="CD29" i="1"/>
  <c r="AB28" i="11"/>
  <c r="CD20" i="1"/>
  <c r="AB17" i="11"/>
  <c r="CD52" i="1"/>
  <c r="AB22" i="11"/>
  <c r="CD12" i="1"/>
  <c r="AB14" i="11"/>
  <c r="CD6" i="1"/>
  <c r="AB33" i="11"/>
  <c r="CD41" i="1"/>
  <c r="AB60" i="11"/>
  <c r="CD36" i="1"/>
  <c r="AB62" i="11"/>
  <c r="CD46" i="1"/>
  <c r="AB30" i="11"/>
  <c r="CD22" i="1"/>
  <c r="AB45" i="11"/>
  <c r="CD32" i="1"/>
  <c r="AB56" i="11"/>
  <c r="CD55" i="1"/>
  <c r="AB16" i="11"/>
  <c r="CD77" i="1"/>
  <c r="AB31" i="11"/>
  <c r="CD79" i="1"/>
  <c r="AB43" i="11"/>
  <c r="CD31" i="1"/>
  <c r="AB61" i="11"/>
  <c r="CD45" i="1"/>
  <c r="AB52" i="11"/>
  <c r="CD59" i="1"/>
  <c r="AB39" i="11"/>
  <c r="CD26" i="1"/>
  <c r="AB24" i="11"/>
  <c r="CD15" i="1"/>
  <c r="AB27" i="11"/>
  <c r="CD74" i="1"/>
  <c r="AB64" i="11"/>
  <c r="CD51" i="1"/>
  <c r="AB37" i="11"/>
  <c r="CD75" i="1"/>
  <c r="AC67" i="11"/>
  <c r="CD97" i="1" s="1"/>
  <c r="AB32" i="11"/>
  <c r="C10" i="16" l="1"/>
  <c r="E64" i="2"/>
  <c r="D16" i="16"/>
  <c r="D18" i="16" s="1"/>
  <c r="C16" i="16"/>
  <c r="C18" i="16" s="1"/>
  <c r="E10" i="16"/>
  <c r="E12" i="16" s="1"/>
  <c r="E16" i="16"/>
  <c r="E18" i="16" s="1"/>
  <c r="C12" i="16"/>
  <c r="D10" i="16"/>
  <c r="D12" i="16" s="1"/>
  <c r="CD95" i="1"/>
  <c r="CD99" i="1" s="1"/>
  <c r="AC69" i="11"/>
  <c r="F12" i="16" l="1"/>
  <c r="E20" i="16"/>
  <c r="C20" i="16"/>
  <c r="F18" i="16"/>
  <c r="D20" i="16"/>
  <c r="BI95" i="1"/>
  <c r="F20" i="16" l="1"/>
  <c r="BN95" i="1"/>
  <c r="BP95" i="1" l="1"/>
  <c r="BP3" i="1" s="1"/>
  <c r="CB95" i="1" l="1"/>
  <c r="BY95" i="1"/>
  <c r="BY3" i="1" l="1"/>
  <c r="E55" i="2" l="1"/>
  <c r="BO95" i="1"/>
  <c r="E68" i="2" l="1"/>
  <c r="CI95" i="1" l="1"/>
  <c r="BP98" i="1" l="1"/>
  <c r="BO98" i="1" l="1"/>
  <c r="BY98" i="1" l="1"/>
  <c r="R5" i="11" l="1"/>
</calcChain>
</file>

<file path=xl/sharedStrings.xml><?xml version="1.0" encoding="utf-8"?>
<sst xmlns="http://schemas.openxmlformats.org/spreadsheetml/2006/main" count="795" uniqueCount="409">
  <si>
    <t>Notes to the funding allocations</t>
  </si>
  <si>
    <t>DSG Schools Block</t>
  </si>
  <si>
    <r>
      <t>Unit Data</t>
    </r>
    <r>
      <rPr>
        <sz val="10"/>
        <color rgb="FF000000"/>
        <rFont val="Arial"/>
        <family val="2"/>
      </rPr>
      <t xml:space="preserve"> - The unit data used comes directly from the DfE, which is in the format as a percentage of the number on roll. All authorities have been instructed to use this data, which is driven in the main by the October 2023 pupil census data. This data is only amendable where it is not representative. As percentages of numbers on roll have been used, the pupil numbers will not be absolute.
The unit values for have been increased by</t>
    </r>
    <r>
      <rPr>
        <b/>
        <sz val="10"/>
        <color rgb="FF000000"/>
        <rFont val="Arial"/>
        <family val="2"/>
      </rPr>
      <t xml:space="preserve"> 1.4%</t>
    </r>
    <r>
      <rPr>
        <sz val="10"/>
        <color rgb="FF000000"/>
        <rFont val="Arial"/>
        <family val="2"/>
      </rPr>
      <t>, from the 2023-24 rates in line with the increases to the core factors in the National Funding Formula for 2024-25.
In order to manage the distribution of resources, the AWPU has been used to balance the total Individual Schools Budget shares.</t>
    </r>
  </si>
  <si>
    <r>
      <t>Pupil Data</t>
    </r>
    <r>
      <rPr>
        <sz val="10"/>
        <rFont val="Arial"/>
        <family val="2"/>
      </rPr>
      <t xml:space="preserve"> - The Pupil Data is based on the October 2023 pupil census as provided by the DfE. The NOR used does not include pupils on the census marked as 'S' (subsidiary registration for dual roled pupils)                                                                                                                                                                                                                                                   
If a school has opened in the last 7 years and is still admitting to all its year groups, we are required by regulations to estimate pupil numbers. Therefore the NOR for these schools will not match the value on the October 2023 census. For these schools, the figures shown are calculated based on the LA's financial year and as such include an element of part year effect for growth for our modelling purposes only, and also to enable the ESFA to recoup funding for them.              </t>
    </r>
  </si>
  <si>
    <r>
      <t>AWPU</t>
    </r>
    <r>
      <rPr>
        <sz val="10"/>
        <rFont val="Arial"/>
        <family val="2"/>
      </rPr>
      <t xml:space="preserve"> - There are only three allowable rates, Primary, KS3 and KS4. There is an increase from last year on these unit rates due to the significant increase in Schools Block funding.</t>
    </r>
  </si>
  <si>
    <r>
      <t xml:space="preserve">Deprivation - </t>
    </r>
    <r>
      <rPr>
        <sz val="10"/>
        <rFont val="Arial"/>
        <family val="2"/>
      </rPr>
      <t xml:space="preserve">The allocation of this factor uses FSM6 and IDACI data. The total funding distributed through the factor in 2024-25 is 9.2%.         </t>
    </r>
    <r>
      <rPr>
        <b/>
        <sz val="10"/>
        <rFont val="Arial"/>
        <family val="2"/>
      </rPr>
      <t xml:space="preserve">                                                                                                                                                                                    </t>
    </r>
  </si>
  <si>
    <r>
      <t>English as an Additional Language</t>
    </r>
    <r>
      <rPr>
        <sz val="10"/>
        <rFont val="Arial"/>
        <family val="2"/>
      </rPr>
      <t xml:space="preserve"> - The agreed factor that has been used is EAL3, where the number of eligible pupils is determined based on children deemed EAL on the census that have been in the school system for less than 3 years.                     </t>
    </r>
  </si>
  <si>
    <r>
      <t>Prior Attainment Primary</t>
    </r>
    <r>
      <rPr>
        <sz val="10"/>
        <rFont val="Arial"/>
        <family val="2"/>
      </rPr>
      <t xml:space="preserve"> - This has to be calculated on the Early Years Foundation Stage Profile (EYSFP). For 2025-25 the number of eligible pupils for this factor is based on primary pupils not achieving the expected level of development in the EYSFP. </t>
    </r>
  </si>
  <si>
    <r>
      <t>Prior Attainment Secondary</t>
    </r>
    <r>
      <rPr>
        <sz val="10"/>
        <rFont val="Arial"/>
        <family val="2"/>
      </rPr>
      <t xml:space="preserve"> - This is now calculated using the new KS2 tests for Yr 7-9 pupils, and the previous testing regime for Yr 10 &amp; 11 pupils. This factor applies to secondary pupils not reaching the expected standard in KS2 at either reading or writing or maths.</t>
    </r>
  </si>
  <si>
    <r>
      <t xml:space="preserve">Mobility - </t>
    </r>
    <r>
      <rPr>
        <sz val="10"/>
        <rFont val="Arial"/>
        <family val="2"/>
      </rPr>
      <t>This factor is based on those pupils whose start date at the school is not September, and entered the school in the last three academic years (excluding nursery entrants). Schools with over 6% of pupils meeting the criteria will attract funding under this factor.</t>
    </r>
  </si>
  <si>
    <r>
      <t>Rates</t>
    </r>
    <r>
      <rPr>
        <sz val="10"/>
        <rFont val="Arial"/>
        <family val="2"/>
      </rPr>
      <t xml:space="preserve"> - This is made up two elements; an amount for estimated 2024-25 rates bills, and an adjustment for actual 2023-24 bills where we were able to obtain information. The figures for 2024-25 are estimates only, as final bills are not issued until March. The adjustment takes into account differences between last years estimate and now known figures. Any difference between 2024-25 estimates and actuals will be adjusted in the 2025-26 funding.  Academies do not receive funding in the GAG for rates, and claim in year for their bills, so the figures shown are purely for LA modelling purposes.</t>
    </r>
  </si>
  <si>
    <r>
      <t>Minimum Funding Guarantee Budget</t>
    </r>
    <r>
      <rPr>
        <sz val="10"/>
        <rFont val="Arial"/>
        <family val="2"/>
      </rPr>
      <t xml:space="preserve"> - This is determined by deducting the lump sum and the rates figures from the
2024-25 school budget share.  This figure is then divided by the pupil numbers on roll to arrive at the per pupil funding for
2024-25. This is then compared to a similarly calculated per pupil funding for 2023-24</t>
    </r>
  </si>
  <si>
    <r>
      <t>Minimum Funding Guarantee Adjustment</t>
    </r>
    <r>
      <rPr>
        <sz val="10"/>
        <rFont val="Arial"/>
        <family val="2"/>
      </rPr>
      <t xml:space="preserve"> - The MFG is set at +0.5%. Effectively this ensures each school will gain, as a minimum, an increase of 0.5% per pupil funding when compared to the 2024-25 MFG Budget per pupil. The MFG percentage change indicates the impact on a schools funding, and the MFG Adjustment percentage reflects the difference between this and the assumption that each school should see an increase of 0.5% per pupil. Where the adjustment percentage figure is positive, the school will receive a MFG funding allocation, which is reflected in the MFG Adjustment row. Please note the total percentage difference year on year may be less than 0.5% as the MFG protects the per pupil amount, not pupil number variations.</t>
    </r>
  </si>
  <si>
    <r>
      <t>Notional SEN -</t>
    </r>
    <r>
      <rPr>
        <sz val="10"/>
        <rFont val="Arial"/>
        <family val="2"/>
      </rPr>
      <t xml:space="preserve"> The notional SEN budget is </t>
    </r>
    <r>
      <rPr>
        <b/>
        <sz val="10"/>
        <rFont val="Arial"/>
        <family val="2"/>
      </rPr>
      <t xml:space="preserve">not </t>
    </r>
    <r>
      <rPr>
        <sz val="10"/>
        <rFont val="Arial"/>
        <family val="2"/>
      </rPr>
      <t>a budget that is separate from a school’s overall budget. It is an identified amount within a maintained school’s delegated budget share or an academy’s general annual grant. It is intended as a guide for a school’s spending decisions, and is neither a target nor a constraint on a school’s duty to use its ‘best endeavours’ to secure special provision for its pupils with SEN.</t>
    </r>
  </si>
  <si>
    <r>
      <rPr>
        <b/>
        <sz val="10"/>
        <rFont val="Arial"/>
        <family val="2"/>
      </rPr>
      <t>Education Functions</t>
    </r>
    <r>
      <rPr>
        <sz val="10"/>
        <rFont val="Arial"/>
        <family val="2"/>
      </rPr>
      <t xml:space="preserve"> - This is only applicable to council maintained schools (i.e. not academies or free schools). Schools Forum agreed to the de-delegation of funding for the Teachers Pensions Support &amp; Administration. LA also requested De-degelation for ESG General Grant,  School forum did'nt approve this , however was approved by the SOS. so the charge for the General ESG Duties is £10.93 per pupil. </t>
    </r>
  </si>
  <si>
    <t>Other DSG Funding</t>
  </si>
  <si>
    <r>
      <rPr>
        <b/>
        <sz val="10"/>
        <rFont val="Arial"/>
        <family val="2"/>
      </rPr>
      <t>EYSFF (universal hours)</t>
    </r>
    <r>
      <rPr>
        <sz val="10"/>
        <rFont val="Arial"/>
        <family val="2"/>
      </rPr>
      <t xml:space="preserve"> - This indicative funding has been based on the actual nursery numbers in the </t>
    </r>
    <r>
      <rPr>
        <b/>
        <sz val="10"/>
        <rFont val="Arial"/>
        <family val="2"/>
      </rPr>
      <t>3 census in 2023</t>
    </r>
    <r>
      <rPr>
        <sz val="10"/>
        <rFont val="Arial"/>
        <family val="2"/>
      </rPr>
      <t xml:space="preserve"> which is then multiplied by your hourly rate. The Early Years Funding Formula is unchanged from 2023-24 with a universal base rate (90%), deprivation rate (4.7%) and additional needs factor (4.8%)  and Pay and Pensions schools only (0.5%). The rates are as per 2024-25. The number of hours is an estimate and funding will be amended throughout the year based on actual uptake of the free entitlement.
</t>
    </r>
    <r>
      <rPr>
        <b/>
        <sz val="10"/>
        <rFont val="Arial"/>
        <family val="2"/>
      </rPr>
      <t xml:space="preserve">EYSFF (additional hours) - </t>
    </r>
    <r>
      <rPr>
        <sz val="10"/>
        <rFont val="Arial"/>
        <family val="2"/>
      </rPr>
      <t xml:space="preserve">If your school offered the additional 15 hours in 2024-25 then we have estimated full year funding for 2024-25. This estimate is based on the actual nursery numbers in </t>
    </r>
    <r>
      <rPr>
        <b/>
        <sz val="10"/>
        <rFont val="Arial"/>
        <family val="2"/>
      </rPr>
      <t>3 census for 2023</t>
    </r>
    <r>
      <rPr>
        <sz val="10"/>
        <rFont val="Arial"/>
        <family val="2"/>
      </rPr>
      <t xml:space="preserve">.which is then multiplied by your hourly rate. This is an estimate and funding will be amended throughout the year based on actual uptake of the additional entitlement.
</t>
    </r>
  </si>
  <si>
    <r>
      <t xml:space="preserve">Growth Contingency - </t>
    </r>
    <r>
      <rPr>
        <sz val="10"/>
        <rFont val="Arial"/>
        <family val="2"/>
      </rPr>
      <t>This is a contingency of DSG funding held and managed by Schools Forum, which provides funding to those schools who take on an additional form of entry in September. The rate per form of entry has been set at £xx for 2024-25. This is calculated by dividing the total AWPU funding for the year by the total number of pupils, multiplied by 30, and apportioned 7/12ths. These allocations were approved by Schools Forum at the January 2024 meeting.</t>
    </r>
  </si>
  <si>
    <t xml:space="preserve">Place funding allocation is reserved for schools that have designated units/special resource provisions. The amount of funding is calculated at £6k per place prorata for number of places commissioned for the academic year. 
Top-up funding is estimated based on the placements at the school as at the last Spring term. This figure can be amended accordingly based on local intelligence. </t>
  </si>
  <si>
    <t>Other Grants (ESTIMATES) Maintained schools only</t>
  </si>
  <si>
    <t>Pupil Premium (Deprivation) This is based on the number of children, who have been eligible at any census in the previous 6 years for free school meals.  The figures quoted are based on the october 23 census multiplied by the 2024-25 rates per pupil. In 2024-25 there is an increase in the per pupil rates to £1,480 for Primary and £1,050 for Secondary. These allocations will be updated based on January 20 data, when the DfE release this information to us in June, after which we will make an adjustment to your cash advance allocation where necessary</t>
  </si>
  <si>
    <t>Pupil Premium (Service Children) This is based on the number of children who have been recorded as a service child at any census in the last 6 years.  A service child is defined as one whose parents or guardian are a member of the British Armed Forces.  The allocations will be £340 per/pupil based on the October 23 census multiplied by the 2024-25 rates per pupil.  These allocations will be updated based on October 24 data, when the DfE release this information to us in June, after which we will make an adjustment to your cash advance allocation where necessary</t>
  </si>
  <si>
    <t>Pupil Premium (Post LAC) This is based on the number of children who have been adopted from care after 2005, or left care under a special guardianship order after 1991. The figures quoted have been based on January 23 census data. In 2024-25 there is an increase in the per pupil rates to £2,570. The DfE will release final allocations in June, after which we will confirm and make an adjustment to your cash advance allocation where necessary</t>
  </si>
  <si>
    <t>PE and Sports Grant This is the final part of the academic year 2023-24 grant, due in May 24, and an estimate of the first instalment of the 2023-24 academic year funding.  We have based the estimate on October 23 pupils and the current funding rates, this will be confirmed by the DfE later in the year, after which adjustments may be made to your cash advance allocation.</t>
  </si>
  <si>
    <t>Universal Infant Free School Meals (UIFSM) This is an academic year grant, therefore your financial year allocation will be made up of 2 amounts - the final estimated payment for the academic year 2023-24 and the first estimated payment for academic year 2024-25.  These figures are based on the latest allocations form the DfE. The final figures will be issued by the DfE in June, after which we will make an amendment to your cash advance allocation where necessary</t>
  </si>
  <si>
    <r>
      <rPr>
        <b/>
        <sz val="10"/>
        <rFont val="Arial"/>
        <family val="2"/>
      </rPr>
      <t>Additional funding for teachers pay (TPAG)</t>
    </r>
    <r>
      <rPr>
        <sz val="10"/>
        <rFont val="Arial"/>
        <family val="2"/>
      </rPr>
      <t xml:space="preserve"> -this additional grant equates to 1.7% increase in the per pupil funding for 2024/25.TPAG will continue for the whole of the financial year 2024 to 2025. Allocations for 2024 to 2025 will therefore be calculated using twelve sevenths of the funding rates in 2023 to 2024.
</t>
    </r>
  </si>
  <si>
    <r>
      <rPr>
        <b/>
        <sz val="10"/>
        <rFont val="Arial"/>
        <family val="2"/>
      </rPr>
      <t xml:space="preserve">Post 16-19 Revenue Funding - </t>
    </r>
    <r>
      <rPr>
        <sz val="10"/>
        <rFont val="Arial"/>
        <family val="2"/>
      </rPr>
      <t xml:space="preserve">Allocations for Apr 24-Jul 25 and Aug 24-Mar 25 , the first 4 months as communicated to us by the ESFA and 8 months are an estimate based on allocations in 23-24 AY. </t>
    </r>
  </si>
  <si>
    <r>
      <t xml:space="preserve">DFC - </t>
    </r>
    <r>
      <rPr>
        <sz val="10"/>
        <rFont val="Arial"/>
        <family val="2"/>
      </rPr>
      <t>This estimate is based on your 2023-24 DFC allocation. As soon as we receive the Devolved Formula Capital allocations for 2024-25 from the DfE we will communicate this to schools and make the necessary adjustment to your funding through the cash advance.</t>
    </r>
  </si>
  <si>
    <t>Individual School Budget 2024-25</t>
  </si>
  <si>
    <t>Select School</t>
  </si>
  <si>
    <t>Yeading Junior School</t>
  </si>
  <si>
    <t>DfE no.</t>
  </si>
  <si>
    <t>select school</t>
  </si>
  <si>
    <t>Barnhill Community High</t>
  </si>
  <si>
    <t>Unit Value</t>
  </si>
  <si>
    <t>Units</t>
  </si>
  <si>
    <t>Total value</t>
  </si>
  <si>
    <t>Notes</t>
  </si>
  <si>
    <t>Belmore Nursery and Primary School</t>
  </si>
  <si>
    <t>AWPU Primary</t>
  </si>
  <si>
    <t>Bishop Ramsey CE School</t>
  </si>
  <si>
    <t>AWPU KS3</t>
  </si>
  <si>
    <t>Bishopshalt School</t>
  </si>
  <si>
    <t>AWPU KS4</t>
  </si>
  <si>
    <t>Botwell House Catholic Primary School</t>
  </si>
  <si>
    <t>AWPU Total</t>
  </si>
  <si>
    <t>Bourne Primary School</t>
  </si>
  <si>
    <t>Brookside Primary School</t>
  </si>
  <si>
    <t>Deprivation - Primary FSM</t>
  </si>
  <si>
    <t>BWI CE Primary School</t>
  </si>
  <si>
    <t>Deprivation - Secondary FSM</t>
  </si>
  <si>
    <t>Charville Primary School</t>
  </si>
  <si>
    <t>Deprivation - Primary FSM6</t>
  </si>
  <si>
    <t>Cherry Lane Primary</t>
  </si>
  <si>
    <t>Deprivation - Secondary FSM 6</t>
  </si>
  <si>
    <t>Colham Manor Primary School</t>
  </si>
  <si>
    <t>Deprivation - Primary IDACI Band F</t>
  </si>
  <si>
    <t>Coteford Infant School</t>
  </si>
  <si>
    <t>Deprivation - Primary IDACI Band E</t>
  </si>
  <si>
    <t>Coteford Junior School</t>
  </si>
  <si>
    <t>Deprivation - Primary IDACI Band D</t>
  </si>
  <si>
    <t>Cowley St. Laurence CE Primary</t>
  </si>
  <si>
    <t>Deprivation - Primary IDACI Band C</t>
  </si>
  <si>
    <t xml:space="preserve">Cranford Park Primary </t>
  </si>
  <si>
    <t>Deprivation - Primary IDACI Band B</t>
  </si>
  <si>
    <t>De Salis Studio College</t>
  </si>
  <si>
    <t>Deprivation - Primary IDACI Band A</t>
  </si>
  <si>
    <t>Deanesfield Primary School</t>
  </si>
  <si>
    <t>Deprivation - Secondary IDACI Band F</t>
  </si>
  <si>
    <t>Dr. Triplett's C.E. Primary</t>
  </si>
  <si>
    <t>Deprivation - Secondary IDACI Band E</t>
  </si>
  <si>
    <t>Field End Infant School</t>
  </si>
  <si>
    <t>Deprivation - Secondary IDACI Band D</t>
  </si>
  <si>
    <t>Field End Junior School</t>
  </si>
  <si>
    <t>Deprivation - Secondary IDACI Band C</t>
  </si>
  <si>
    <t>Frithwood Primary School</t>
  </si>
  <si>
    <t>Deprivation - Secondary IDACI Band B</t>
  </si>
  <si>
    <t>Glebe Primary School</t>
  </si>
  <si>
    <t>Deprivation - Secondary IDACI Band A</t>
  </si>
  <si>
    <t>Grange Park Infant School</t>
  </si>
  <si>
    <t>EAL Primary</t>
  </si>
  <si>
    <t>Grange Park Junior School</t>
  </si>
  <si>
    <t>EAL Secondary</t>
  </si>
  <si>
    <t>Guru Nanak Sikh Academy</t>
  </si>
  <si>
    <t>Prior Attainment Primary</t>
  </si>
  <si>
    <t>Harefield Infant School</t>
  </si>
  <si>
    <t>Prior Attainment Secondary</t>
  </si>
  <si>
    <t>Harefield Junior School</t>
  </si>
  <si>
    <t>Mobility Primary</t>
  </si>
  <si>
    <t>Harlington School</t>
  </si>
  <si>
    <t>Mobility Secondary</t>
  </si>
  <si>
    <t>Harlyn Primary School</t>
  </si>
  <si>
    <t>AEN Total</t>
  </si>
  <si>
    <t>Harmondsworth Primary School</t>
  </si>
  <si>
    <t>Haydon School</t>
  </si>
  <si>
    <t xml:space="preserve">Lump Sum Primary </t>
  </si>
  <si>
    <t>Hayes Park</t>
  </si>
  <si>
    <t>Lump Sum Secondary</t>
  </si>
  <si>
    <t>Heathrow Aviation Engineering UTC</t>
  </si>
  <si>
    <t>Rates</t>
  </si>
  <si>
    <t>Heathrow Primary School</t>
  </si>
  <si>
    <t>Adjustment to 23-24 rates</t>
  </si>
  <si>
    <t>Hermitage Primary School</t>
  </si>
  <si>
    <t>Split Site</t>
  </si>
  <si>
    <t>Hewens College</t>
  </si>
  <si>
    <t>PFI</t>
  </si>
  <si>
    <t>Hewens Primary School</t>
  </si>
  <si>
    <t>Adjustments to 23-24 budget shares</t>
  </si>
  <si>
    <t>Highfield Primary School</t>
  </si>
  <si>
    <t>School Factors Total</t>
  </si>
  <si>
    <t>Hillingdon Primary School</t>
  </si>
  <si>
    <t>Hillside Infant School</t>
  </si>
  <si>
    <t>Total</t>
  </si>
  <si>
    <t>Hillside Junior School</t>
  </si>
  <si>
    <t>Holy Trinity C. of E. Primary</t>
  </si>
  <si>
    <t>MFG Budget</t>
  </si>
  <si>
    <t>John Locke Academy</t>
  </si>
  <si>
    <t>MFG Unit Value 24/25</t>
  </si>
  <si>
    <t>Lady Bankes Junior School</t>
  </si>
  <si>
    <t>MFG Unit Value 23/24</t>
  </si>
  <si>
    <t>Lake Farm Park Academy</t>
  </si>
  <si>
    <t>MFG % Change</t>
  </si>
  <si>
    <t>Laurel Lane Primary School</t>
  </si>
  <si>
    <t>MFG Adjustment %</t>
  </si>
  <si>
    <t>Minet Infant School</t>
  </si>
  <si>
    <t xml:space="preserve">MFG Adjustment </t>
  </si>
  <si>
    <t>Minet Junior School</t>
  </si>
  <si>
    <t>Post MFG Budget</t>
  </si>
  <si>
    <t>Nanaksar Primary School</t>
  </si>
  <si>
    <t>Newnham Infant School</t>
  </si>
  <si>
    <t xml:space="preserve">Notional SEN </t>
  </si>
  <si>
    <t>Newnham Junior School</t>
  </si>
  <si>
    <t>Northwood School</t>
  </si>
  <si>
    <t>Education Functions-Pensions Admin</t>
  </si>
  <si>
    <t>Oak Farm School</t>
  </si>
  <si>
    <t>Education Functions-General</t>
  </si>
  <si>
    <t>Oak Wood School</t>
  </si>
  <si>
    <t>Park Academy West London</t>
  </si>
  <si>
    <t>Final DSG Schools Block Budget</t>
  </si>
  <si>
    <t>Parkside Studio College</t>
  </si>
  <si>
    <t>Less Rates</t>
  </si>
  <si>
    <t>Pinkwell Primary</t>
  </si>
  <si>
    <t xml:space="preserve">Other DSG funding </t>
  </si>
  <si>
    <t>Queensmead School</t>
  </si>
  <si>
    <t>Rabbsfarm Primary School</t>
  </si>
  <si>
    <t>EYSFF (Universal 15 Hrs)</t>
  </si>
  <si>
    <t>Rosedale College</t>
  </si>
  <si>
    <t>EYSFF (Additional 15 Hrs)</t>
  </si>
  <si>
    <t>Rosedale Primary School</t>
  </si>
  <si>
    <t>Growth Contingency</t>
  </si>
  <si>
    <t>Ruislip Gardens Primary School</t>
  </si>
  <si>
    <t>Place Funding -SEN</t>
  </si>
  <si>
    <t>Ruislip High School</t>
  </si>
  <si>
    <t>Top up - SEN</t>
  </si>
  <si>
    <t>Ryefield Primary School</t>
  </si>
  <si>
    <t>Sacred Heart Catholic Primary School</t>
  </si>
  <si>
    <t>St Andrews CE Primary School</t>
  </si>
  <si>
    <t>St Bernadette Catholic Primary School</t>
  </si>
  <si>
    <t>Pupil Premium (Deprivation)</t>
  </si>
  <si>
    <t>St Martins CE Primary</t>
  </si>
  <si>
    <t>Pupil Premium (Service Children)</t>
  </si>
  <si>
    <t>St Mary's Catholic Primary School</t>
  </si>
  <si>
    <t>Pupil Premium (Post LAC)</t>
  </si>
  <si>
    <t>St Matthews Primary School</t>
  </si>
  <si>
    <t>PE and Sports Grant</t>
  </si>
  <si>
    <t>St Swithun Wells Catholic Primary School</t>
  </si>
  <si>
    <t>Universal Infant Free School Meals (UIFSM)</t>
  </si>
  <si>
    <t>St.Catherine Catholic Primary School</t>
  </si>
  <si>
    <t>Additional funding for teachers pay (TPAG)</t>
  </si>
  <si>
    <t>Swakeleys School for Girls incorporating 6th Form @ Swakeleys</t>
  </si>
  <si>
    <t>16-19 Revenue Funding (Apr 24-Jul 24)</t>
  </si>
  <si>
    <t>The Breakspear School</t>
  </si>
  <si>
    <t>16-19 Revenue Funding (Aug 24-Mar 25)</t>
  </si>
  <si>
    <t>The Douay Martyrs School</t>
  </si>
  <si>
    <t>The Global Academy</t>
  </si>
  <si>
    <t>Devolved Formula Capital</t>
  </si>
  <si>
    <t>The Harefield Academy</t>
  </si>
  <si>
    <t>Uxbridge High School</t>
  </si>
  <si>
    <t>Vyners School</t>
  </si>
  <si>
    <t>Warrender Primary School</t>
  </si>
  <si>
    <t>West Drayton Academy</t>
  </si>
  <si>
    <t>Whitehall Infant School</t>
  </si>
  <si>
    <t>Whitehall Junior School</t>
  </si>
  <si>
    <t>Whiteheath Infant School</t>
  </si>
  <si>
    <t>Whiteheath Junior School</t>
  </si>
  <si>
    <t>William Byrd Primary Academy</t>
  </si>
  <si>
    <t>Wood End Park Community</t>
  </si>
  <si>
    <t>Yeading Infant School</t>
  </si>
  <si>
    <t>SCHOOLS BLOCK FORMULA 2024-25</t>
  </si>
  <si>
    <t>Non DSG grants - estimates maintained schools only</t>
  </si>
  <si>
    <t>DfE</t>
  </si>
  <si>
    <t>School Name</t>
  </si>
  <si>
    <t>NOR</t>
  </si>
  <si>
    <t>NOR Primary</t>
  </si>
  <si>
    <t>NOR Secondary</t>
  </si>
  <si>
    <t>NOR KS3</t>
  </si>
  <si>
    <t>NOR KS4</t>
  </si>
  <si>
    <t>Deprivation - Primary FSM 6</t>
  </si>
  <si>
    <t>Deprivation (IDACI) Band F Primary</t>
  </si>
  <si>
    <t>Deprivation (IDACI) Band E Primary</t>
  </si>
  <si>
    <t>Deprivation (IDACI) Band D Primary</t>
  </si>
  <si>
    <t>Deprivation (IDACI) Band C Primary</t>
  </si>
  <si>
    <t>Deprivation (IDACI) Band B Primary</t>
  </si>
  <si>
    <t>Deprivation (IDACI) Band A Primary</t>
  </si>
  <si>
    <t>Deprivation (IDACI) Band F Secondary</t>
  </si>
  <si>
    <t>Deprivation (IDACI) Band E Secondary</t>
  </si>
  <si>
    <t>Deprivation (IDACI) Band D Secondary</t>
  </si>
  <si>
    <t>Deprivation (IDACI) Band C Secondary</t>
  </si>
  <si>
    <t>Deprivation (IDACI) Band B Secondary</t>
  </si>
  <si>
    <t>Deprivation (IDACI) Band A Secondary</t>
  </si>
  <si>
    <t>EAL 3 Primary</t>
  </si>
  <si>
    <t>EAL 3 Secondary</t>
  </si>
  <si>
    <t>Low Att Pri</t>
  </si>
  <si>
    <t>Low Att Sec</t>
  </si>
  <si>
    <t>Mobility Pri</t>
  </si>
  <si>
    <t>Mobility Sec</t>
  </si>
  <si>
    <t>Deprivation (FSM) Primary</t>
  </si>
  <si>
    <t>Deprivation (FSM) Secondary</t>
  </si>
  <si>
    <t>Deprivation (FSM Ever 6) Primary</t>
  </si>
  <si>
    <t>Deprivation (FSM Ever 6) Secondary</t>
  </si>
  <si>
    <t>EAL (P)</t>
  </si>
  <si>
    <t>EAL (S)</t>
  </si>
  <si>
    <t>Low Attainment (P)</t>
  </si>
  <si>
    <t>Low Attainment (S)</t>
  </si>
  <si>
    <t>Mobility (P)</t>
  </si>
  <si>
    <t>Mobility (S)</t>
  </si>
  <si>
    <t>Sparsity</t>
  </si>
  <si>
    <t>Lump Sum (P)</t>
  </si>
  <si>
    <t>Lump Sum (S)</t>
  </si>
  <si>
    <t>24-25 rates</t>
  </si>
  <si>
    <t>23-24 rates adjustment</t>
  </si>
  <si>
    <t>Split Sites</t>
  </si>
  <si>
    <t>Adjustment to 24-25 budget share</t>
  </si>
  <si>
    <t>School factors total</t>
  </si>
  <si>
    <t>Notional SEN allocation</t>
  </si>
  <si>
    <t>Total Allocation</t>
  </si>
  <si>
    <t>Pri Funding</t>
  </si>
  <si>
    <t>Sec Funding</t>
  </si>
  <si>
    <t>24-25 MFG Budget</t>
  </si>
  <si>
    <t>24-25 MFG Unit Value</t>
  </si>
  <si>
    <t>23-24 MFG Unit Value</t>
  </si>
  <si>
    <t>MFG % change</t>
  </si>
  <si>
    <t>MFG Value adjustment</t>
  </si>
  <si>
    <t>24-25 MFG Adjustment</t>
  </si>
  <si>
    <t xml:space="preserve">Education functions-Pensions Admin </t>
  </si>
  <si>
    <t>Education functions</t>
  </si>
  <si>
    <t>Post de-delegation budget</t>
  </si>
  <si>
    <t>EYSFF</t>
  </si>
  <si>
    <t>EYSFF (Additional)</t>
  </si>
  <si>
    <t xml:space="preserve">Growth Contingency Academies April-Aug </t>
  </si>
  <si>
    <t xml:space="preserve">Top up -SEN </t>
  </si>
  <si>
    <t>Pupil Premium-Deprivation</t>
  </si>
  <si>
    <t>Pupil Premium - Service Children</t>
  </si>
  <si>
    <t>Pupil Premium - Post LAC</t>
  </si>
  <si>
    <t>PE and Sports</t>
  </si>
  <si>
    <t>TPAG</t>
  </si>
  <si>
    <t>UIFSM</t>
  </si>
  <si>
    <t>DFC</t>
  </si>
  <si>
    <t>ESFA Sixth form (Apr 24-Jul 25)</t>
  </si>
  <si>
    <t>ESFA Sixth form (Aug 24-Mar 25)</t>
  </si>
  <si>
    <t>Pinkwell Primary School</t>
  </si>
  <si>
    <t>scared heart MPPF</t>
  </si>
  <si>
    <t>Contingency</t>
  </si>
  <si>
    <t>MCMILLAN NURSERY EYSFF  BUDGET 2024-25</t>
  </si>
  <si>
    <t>INDICATIVE</t>
  </si>
  <si>
    <t>Funding</t>
  </si>
  <si>
    <t>Hourly Rate</t>
  </si>
  <si>
    <t>Allocation</t>
  </si>
  <si>
    <t>(£ / hour)</t>
  </si>
  <si>
    <t>£</t>
  </si>
  <si>
    <t xml:space="preserve">Universal </t>
  </si>
  <si>
    <t xml:space="preserve">Additional </t>
  </si>
  <si>
    <t>Maintained Nursery School lump sum</t>
  </si>
  <si>
    <t>Base</t>
  </si>
  <si>
    <t xml:space="preserve">IDACI </t>
  </si>
  <si>
    <t>Additional Needs</t>
  </si>
  <si>
    <t xml:space="preserve">Pay and Pensions </t>
  </si>
  <si>
    <t>Total Hourly Rate</t>
  </si>
  <si>
    <t>Projected Universal Hours</t>
  </si>
  <si>
    <t>Projected Additional Hours</t>
  </si>
  <si>
    <t>EYSFF Funding of Projected Hours (Projected Hours × Total Hourly Rate)</t>
  </si>
  <si>
    <t>Total EYSFF Funding</t>
  </si>
  <si>
    <t>SEN TOP UP Funding</t>
  </si>
  <si>
    <t xml:space="preserve">2024-25 EY BUDGET </t>
  </si>
  <si>
    <t>Model 2</t>
  </si>
  <si>
    <t>EYFF BUDGET 2024/25</t>
  </si>
  <si>
    <t>Total Funding available</t>
  </si>
  <si>
    <t>Percentage of funding</t>
  </si>
  <si>
    <t>Budget Hours Free entitlement (Universal)</t>
  </si>
  <si>
    <t>Base rate funding</t>
  </si>
  <si>
    <t>Deprivation supplement</t>
  </si>
  <si>
    <t>Additional needs supplement</t>
  </si>
  <si>
    <t>Teacher Pension</t>
  </si>
  <si>
    <t>Total budget</t>
  </si>
  <si>
    <t>Total Actuals</t>
  </si>
  <si>
    <t>Rate per hour</t>
  </si>
  <si>
    <t>ref</t>
  </si>
  <si>
    <t>Provider</t>
  </si>
  <si>
    <t>Type</t>
  </si>
  <si>
    <t>formula ref</t>
  </si>
  <si>
    <t>Summer 23 (Actual hours)</t>
  </si>
  <si>
    <t>Autumn 23 (Actual hours)</t>
  </si>
  <si>
    <t>Spring 23 (Actual hours)</t>
  </si>
  <si>
    <t>Total FE Hours</t>
  </si>
  <si>
    <t>Base rate per hour</t>
  </si>
  <si>
    <t>IDACI score</t>
  </si>
  <si>
    <t>IDACI Weighting</t>
  </si>
  <si>
    <t>IDACI funding</t>
  </si>
  <si>
    <t>Deprivation per hour</t>
  </si>
  <si>
    <t>% of SEND</t>
  </si>
  <si>
    <t>Notional SEND Weighting</t>
  </si>
  <si>
    <t>Hourly rate</t>
  </si>
  <si>
    <t xml:space="preserve">SEND Funding </t>
  </si>
  <si>
    <t>SEND Funding per hour</t>
  </si>
  <si>
    <t>Funding based on all TP</t>
  </si>
  <si>
    <t>Teacher Pension per hour</t>
  </si>
  <si>
    <t>Total hourly rate</t>
  </si>
  <si>
    <t>Total Budget Funding</t>
  </si>
  <si>
    <t>Lump sum (mns)</t>
  </si>
  <si>
    <t>Mcmillan Nursery</t>
  </si>
  <si>
    <t>School</t>
  </si>
  <si>
    <t>Belmore Primary</t>
  </si>
  <si>
    <t>Botwell House RC Primary</t>
  </si>
  <si>
    <t>Brookside Primary</t>
  </si>
  <si>
    <t>BWI CE Primary</t>
  </si>
  <si>
    <t>Charville Primary</t>
  </si>
  <si>
    <t>Colham Manor Primary</t>
  </si>
  <si>
    <t>Coteford Infant</t>
  </si>
  <si>
    <t>Cowley St Laurence</t>
  </si>
  <si>
    <t>Cranford Park Primary</t>
  </si>
  <si>
    <t>Deanesfield Primary</t>
  </si>
  <si>
    <t>Dr Tripletts CE</t>
  </si>
  <si>
    <t>Field End Infant</t>
  </si>
  <si>
    <t>Frithwood Primary</t>
  </si>
  <si>
    <t>Glebe Primary</t>
  </si>
  <si>
    <t>Grange Park Infant</t>
  </si>
  <si>
    <t>Harefield Infant</t>
  </si>
  <si>
    <t>Harlyn Primary</t>
  </si>
  <si>
    <t>Harmondsworth Primary</t>
  </si>
  <si>
    <t>Hayes Park Primary</t>
  </si>
  <si>
    <t>Heathrow Primary</t>
  </si>
  <si>
    <t>Hermitage Primary</t>
  </si>
  <si>
    <t>Hewens Primary</t>
  </si>
  <si>
    <t>Highfield Primary</t>
  </si>
  <si>
    <t>Hillingdon Primary</t>
  </si>
  <si>
    <t>Hillside Infant</t>
  </si>
  <si>
    <t>John Locke</t>
  </si>
  <si>
    <t>Lady Bankes Infant</t>
  </si>
  <si>
    <t>Lake Farm Park</t>
  </si>
  <si>
    <t>Laurel Lane Primary</t>
  </si>
  <si>
    <t>Minet Infant</t>
  </si>
  <si>
    <t>Newnham Infant</t>
  </si>
  <si>
    <t>Oak Farm Infant</t>
  </si>
  <si>
    <t>Rabbsfarm Primary</t>
  </si>
  <si>
    <t>Ruislip Gardens Primary</t>
  </si>
  <si>
    <t>Ryefield Primary</t>
  </si>
  <si>
    <t>Sacred Heart RC Primary</t>
  </si>
  <si>
    <t>St Andrew's CE Primary</t>
  </si>
  <si>
    <t>St Bernadette's RC Primary</t>
  </si>
  <si>
    <t>St Catherine's RC Primary</t>
  </si>
  <si>
    <t>St Martins</t>
  </si>
  <si>
    <t>St Mary's RC Primary</t>
  </si>
  <si>
    <t>St Matthew's CE Primary</t>
  </si>
  <si>
    <t>St Swithun Wells RC Primary</t>
  </si>
  <si>
    <t>Warrender Primary</t>
  </si>
  <si>
    <t>West Drayton Primary</t>
  </si>
  <si>
    <t>Whitehall Infant</t>
  </si>
  <si>
    <t>Whiteheath Infant</t>
  </si>
  <si>
    <t>William Byrd Primary</t>
  </si>
  <si>
    <t>Wood End Park</t>
  </si>
  <si>
    <t>Yeading Infant</t>
  </si>
  <si>
    <t>School Total</t>
  </si>
  <si>
    <t>Grand Total</t>
  </si>
  <si>
    <t xml:space="preserve">Check </t>
  </si>
  <si>
    <t xml:space="preserve">2024-25 BUDGET Additional </t>
  </si>
  <si>
    <t>Check total</t>
  </si>
  <si>
    <t>EYSFF Calculator</t>
  </si>
  <si>
    <t>Universal Hours</t>
  </si>
  <si>
    <t>Term</t>
  </si>
  <si>
    <t>Summer</t>
  </si>
  <si>
    <t>Autumn</t>
  </si>
  <si>
    <t>Spring</t>
  </si>
  <si>
    <t>Budgeted Hours</t>
  </si>
  <si>
    <t>Budgeted no. of children</t>
  </si>
  <si>
    <t>Original Budget April '24</t>
  </si>
  <si>
    <t>Estimated no. of children</t>
  </si>
  <si>
    <t>Estimated no. of hours</t>
  </si>
  <si>
    <t>Estimated funding</t>
  </si>
  <si>
    <t>Adjustment to budget</t>
  </si>
  <si>
    <t>Additional Hours</t>
  </si>
  <si>
    <t>Lady Bankes Infant School</t>
  </si>
  <si>
    <t>McMillan</t>
  </si>
  <si>
    <t>Oak Farm Infant School</t>
  </si>
  <si>
    <t>How to use the EYSFF Calculator</t>
  </si>
  <si>
    <t>1. Select your school from the drop-down box</t>
  </si>
  <si>
    <t>2. The tables will populate with the budgeted EYSFF hours and funding for your school</t>
  </si>
  <si>
    <t>3. If you wish to adjust the number of pupils for a term, enter the new figure in the box highlighted yellow for the term you wish to change</t>
  </si>
  <si>
    <t>4. This will automatically calculate the revised funding estimate and the adjustment needed for your budgeting purpose</t>
  </si>
  <si>
    <t>5. Please note, this is just for your budgeting purposes and will not impact on the EYSFF funding for your school which will be adjusted based on actual numbers as in previous years</t>
  </si>
  <si>
    <t>West london academy renamed - West Drayton and William Byrd moved</t>
  </si>
  <si>
    <t>notes updated but need checking</t>
  </si>
  <si>
    <t>Copy and pasted data from apt</t>
  </si>
  <si>
    <t>Copies awpu, idaci, attain, mob rates across</t>
  </si>
  <si>
    <t xml:space="preserve">Deprivation rate changed </t>
  </si>
  <si>
    <t>MFG values copied</t>
  </si>
  <si>
    <t>EYSFF three terms hours values pasted</t>
  </si>
  <si>
    <t>idaci avg copied</t>
  </si>
  <si>
    <t>name changes</t>
  </si>
  <si>
    <t>eal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</si>
</sst>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0.0"/>
    <numFmt numFmtId="166" formatCode="#,##0_ ;\-#,##0\ "/>
    <numFmt numFmtId="167" formatCode="\$#,##0\ ;\(\$#,##0\)"/>
    <numFmt numFmtId="168" formatCode="_(&quot;£&quot;* #,##0.00_);_(&quot;£&quot;* \(#,##0.00\);_(&quot;£&quot;* &quot;-&quot;??_);_(@_)"/>
    <numFmt numFmtId="169" formatCode="&quot;£&quot;#,##0"/>
    <numFmt numFmtId="170" formatCode="_-&quot;£&quot;* #,##0_-;\-&quot;£&quot;* #,##0_-;_-&quot;£&quot;* &quot;-&quot;??_-;_-@_-"/>
    <numFmt numFmtId="171" formatCode="&quot;£&quot;#,##0.00"/>
    <numFmt numFmtId="172" formatCode="_-* #,##0_-;\-* #,##0_-;_-* &quot;-&quot;??_-;_-@_-"/>
    <numFmt numFmtId="173" formatCode="0.0%"/>
    <numFmt numFmtId="174" formatCode="_-* #,##0.0_-;\-* #,##0.0_-;_-* &quot;-&quot;??_-;_-@_-"/>
    <numFmt numFmtId="175" formatCode="_-* #,##0.000_-;\-* #,##0.000_-;_-* &quot;-&quot;??_-;_-@_-"/>
    <numFmt numFmtId="176" formatCode="#,##0.0"/>
    <numFmt numFmtId="177" formatCode="_-&quot;£&quot;* #,##0.000_-;\-&quot;£&quot;* #,##0.000_-;_-&quot;£&quot;* &quot;-&quot;??_-;_-@_-"/>
    <numFmt numFmtId="178" formatCode="0.000"/>
    <numFmt numFmtId="179" formatCode="_-* #,##0.0_-;\-* #,##0.0_-;_-* &quot;-&quot;?_-;_-@_-"/>
  </numFmts>
  <fonts count="61" x14ac:knownFonts="1">
    <font>
      <sz val="10"/>
      <name val="Arial"/>
    </font>
    <font>
      <sz val="10"/>
      <name val="Arial"/>
      <family val="2"/>
    </font>
    <font>
      <sz val="8"/>
      <name val="Arial"/>
      <family val="2"/>
    </font>
    <font>
      <sz val="10"/>
      <name val="Arial"/>
      <family val="2"/>
    </font>
    <font>
      <b/>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4"/>
      <name val="Arial"/>
      <family val="2"/>
    </font>
    <font>
      <b/>
      <u/>
      <sz val="14"/>
      <color indexed="24"/>
      <name val="Times New Roman"/>
      <family val="1"/>
    </font>
    <font>
      <b/>
      <sz val="10"/>
      <color indexed="1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24"/>
      <name val="Times New Roman"/>
      <family val="1"/>
    </font>
    <font>
      <b/>
      <sz val="10"/>
      <color indexed="24"/>
      <name val="Times New Roman"/>
      <family val="1"/>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56"/>
      <name val="Cambria"/>
      <family val="2"/>
    </font>
    <font>
      <b/>
      <sz val="11"/>
      <color indexed="8"/>
      <name val="Calibri"/>
      <family val="2"/>
    </font>
    <font>
      <sz val="11"/>
      <color indexed="10"/>
      <name val="Calibri"/>
      <family val="2"/>
    </font>
    <font>
      <u/>
      <sz val="10"/>
      <name val="Arial"/>
      <family val="2"/>
    </font>
    <font>
      <b/>
      <u/>
      <sz val="12"/>
      <name val="Arial"/>
      <family val="2"/>
    </font>
    <font>
      <b/>
      <sz val="12"/>
      <name val="Arial"/>
      <family val="2"/>
    </font>
    <font>
      <sz val="9"/>
      <name val="Arial"/>
      <family val="2"/>
    </font>
    <font>
      <b/>
      <u/>
      <sz val="14"/>
      <name val="Arial"/>
      <family val="2"/>
    </font>
    <font>
      <b/>
      <u/>
      <sz val="10"/>
      <name val="Arial"/>
      <family val="2"/>
    </font>
    <font>
      <sz val="8"/>
      <color indexed="72"/>
      <name val="MS Sans Serif"/>
      <family val="2"/>
    </font>
    <font>
      <sz val="11"/>
      <color theme="1"/>
      <name val="Calibri"/>
      <family val="2"/>
      <scheme val="minor"/>
    </font>
    <font>
      <sz val="12"/>
      <color theme="1"/>
      <name val="Arial"/>
      <family val="2"/>
    </font>
    <font>
      <b/>
      <u/>
      <sz val="16"/>
      <color theme="1"/>
      <name val="Calibri"/>
      <family val="2"/>
      <scheme val="minor"/>
    </font>
    <font>
      <i/>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name val="Arial"/>
      <family val="2"/>
    </font>
    <font>
      <b/>
      <u/>
      <sz val="16"/>
      <name val="Arial"/>
      <family val="2"/>
    </font>
    <font>
      <b/>
      <u/>
      <sz val="10"/>
      <color theme="1"/>
      <name val="Arial"/>
      <family val="2"/>
    </font>
    <font>
      <i/>
      <sz val="10"/>
      <color theme="1"/>
      <name val="Arial"/>
      <family val="2"/>
    </font>
    <font>
      <b/>
      <i/>
      <sz val="10"/>
      <color theme="1"/>
      <name val="Arial"/>
      <family val="2"/>
    </font>
    <font>
      <b/>
      <u/>
      <sz val="11"/>
      <color theme="1"/>
      <name val="Calibri"/>
      <family val="2"/>
      <scheme val="minor"/>
    </font>
    <font>
      <sz val="10"/>
      <color rgb="FF000000"/>
      <name val="Arial"/>
      <family val="2"/>
    </font>
    <font>
      <sz val="10"/>
      <name val="Arial"/>
      <family val="2"/>
    </font>
    <font>
      <b/>
      <sz val="11"/>
      <name val="Calibri"/>
      <family val="2"/>
      <scheme val="minor"/>
    </font>
    <font>
      <sz val="10"/>
      <color rgb="FFFF0000"/>
      <name val="Tahoma"/>
      <family val="2"/>
    </font>
    <font>
      <sz val="11"/>
      <color rgb="FFFF0000"/>
      <name val="Calibri"/>
      <family val="2"/>
      <scheme val="minor"/>
    </font>
    <font>
      <sz val="11"/>
      <color rgb="FF333333"/>
      <name val="Calibri"/>
      <family val="2"/>
      <scheme val="minor"/>
    </font>
    <font>
      <b/>
      <sz val="14"/>
      <color theme="1"/>
      <name val="Calibri"/>
      <family val="2"/>
      <scheme val="minor"/>
    </font>
    <font>
      <b/>
      <sz val="11"/>
      <color rgb="FFFF0000"/>
      <name val="Calibri"/>
      <family val="2"/>
      <scheme val="minor"/>
    </font>
    <font>
      <b/>
      <sz val="10"/>
      <color rgb="FF000000"/>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gray0625">
        <fgColor indexed="22"/>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7" tint="0.39994506668294322"/>
        <bgColor indexed="64"/>
      </patternFill>
    </fill>
    <fill>
      <patternFill patternType="solid">
        <fgColor rgb="FFCCFFCC"/>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39997558519241921"/>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23"/>
      </top>
      <bottom style="medium">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ck">
        <color indexed="64"/>
      </top>
      <bottom style="double">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ck">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4"/>
      </top>
      <bottom style="double">
        <color indexed="64"/>
      </bottom>
      <diagonal/>
    </border>
    <border>
      <left style="thick">
        <color indexed="64"/>
      </left>
      <right style="thick">
        <color indexed="64"/>
      </right>
      <top style="thin">
        <color indexed="64"/>
      </top>
      <bottom/>
      <diagonal/>
    </border>
    <border>
      <left/>
      <right/>
      <top style="thin">
        <color indexed="64"/>
      </top>
      <bottom style="thin">
        <color indexed="64"/>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rgb="FF000000"/>
      </left>
      <right/>
      <top/>
      <bottom/>
      <diagonal/>
    </border>
    <border>
      <left style="thin">
        <color rgb="FFE5E5E5"/>
      </left>
      <right style="thin">
        <color rgb="FFE5E5E5"/>
      </right>
      <top/>
      <bottom style="thin">
        <color rgb="FFE5E5E5"/>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rgb="FFE5E5E5"/>
      </right>
      <top/>
      <bottom style="thin">
        <color rgb="FFE5E5E5"/>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top style="medium">
        <color indexed="64"/>
      </top>
      <bottom/>
      <diagonal/>
    </border>
    <border>
      <left style="thin">
        <color rgb="FF000000"/>
      </left>
      <right style="thin">
        <color rgb="FF000000"/>
      </right>
      <top style="thin">
        <color rgb="FF000000"/>
      </top>
      <bottom style="thin">
        <color rgb="FF000000"/>
      </bottom>
      <diagonal/>
    </border>
  </borders>
  <cellStyleXfs count="99">
    <xf numFmtId="0" fontId="0" fillId="0" borderId="0"/>
    <xf numFmtId="0" fontId="1" fillId="0" borderId="0"/>
    <xf numFmtId="0" fontId="1"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3" fontId="11" fillId="0" borderId="0" applyFont="0" applyFill="0" applyBorder="0" applyAlignment="0" applyProtection="0"/>
    <xf numFmtId="0" fontId="12" fillId="0" borderId="0" applyNumberFormat="0" applyFill="0" applyBorder="0" applyAlignment="0" applyProtection="0"/>
    <xf numFmtId="8" fontId="13" fillId="0" borderId="3" applyFont="0" applyBorder="0" applyAlignment="0">
      <alignment horizontal="center"/>
    </xf>
    <xf numFmtId="44"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39" fillId="0" borderId="0" applyFont="0" applyFill="0" applyBorder="0" applyAlignment="0" applyProtection="0"/>
    <xf numFmtId="168" fontId="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4" fillId="0" borderId="0" applyNumberFormat="0" applyFill="0" applyBorder="0" applyAlignment="0" applyProtection="0"/>
    <xf numFmtId="2" fontId="11" fillId="0" borderId="0" applyFon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5" fillId="0" borderId="0">
      <alignment horizontal="left" vertical="center"/>
    </xf>
    <xf numFmtId="0" fontId="20" fillId="0" borderId="7" applyNumberFormat="0" applyFill="0" applyAlignment="0" applyProtection="0"/>
    <xf numFmtId="0" fontId="21" fillId="22" borderId="0" applyNumberFormat="0" applyBorder="0" applyAlignment="0" applyProtection="0"/>
    <xf numFmtId="0" fontId="6" fillId="0" borderId="0"/>
    <xf numFmtId="0" fontId="6" fillId="0" borderId="0"/>
    <xf numFmtId="0" fontId="1" fillId="0" borderId="0"/>
    <xf numFmtId="0" fontId="1" fillId="0" borderId="0"/>
    <xf numFmtId="0" fontId="38" fillId="0" borderId="0" applyAlignment="0">
      <alignment vertical="top" wrapText="1"/>
      <protection locked="0"/>
    </xf>
    <xf numFmtId="0" fontId="3" fillId="0" borderId="0"/>
    <xf numFmtId="0" fontId="1" fillId="0" borderId="0"/>
    <xf numFmtId="0" fontId="40" fillId="0" borderId="0"/>
    <xf numFmtId="0" fontId="39" fillId="0" borderId="0"/>
    <xf numFmtId="0" fontId="39" fillId="0" borderId="0"/>
    <xf numFmtId="0" fontId="1" fillId="0" borderId="0"/>
    <xf numFmtId="0" fontId="1" fillId="0" borderId="0"/>
    <xf numFmtId="0" fontId="39" fillId="0" borderId="0"/>
    <xf numFmtId="0" fontId="22" fillId="0" borderId="0">
      <alignment horizontal="right"/>
    </xf>
    <xf numFmtId="3" fontId="22" fillId="0" borderId="8"/>
    <xf numFmtId="3" fontId="22" fillId="0" borderId="9"/>
    <xf numFmtId="0" fontId="23" fillId="0" borderId="0">
      <alignment horizontal="left"/>
    </xf>
    <xf numFmtId="3" fontId="22" fillId="0" borderId="10">
      <alignment horizontal="right"/>
    </xf>
    <xf numFmtId="3" fontId="22" fillId="0" borderId="11"/>
    <xf numFmtId="0" fontId="1" fillId="23" borderId="12" applyNumberFormat="0" applyFont="0" applyAlignment="0" applyProtection="0"/>
    <xf numFmtId="3" fontId="5" fillId="0" borderId="0">
      <alignment horizontal="right"/>
    </xf>
    <xf numFmtId="0" fontId="24" fillId="20" borderId="13" applyNumberFormat="0" applyAlignment="0" applyProtection="0"/>
    <xf numFmtId="40" fontId="25" fillId="24" borderId="0">
      <alignment horizontal="right"/>
    </xf>
    <xf numFmtId="0" fontId="26" fillId="24" borderId="0">
      <alignment horizontal="right"/>
    </xf>
    <xf numFmtId="0" fontId="27" fillId="24" borderId="14"/>
    <xf numFmtId="0" fontId="27" fillId="0" borderId="0" applyBorder="0">
      <alignment horizontal="centerContinuous"/>
    </xf>
    <xf numFmtId="0" fontId="28" fillId="0" borderId="0" applyBorder="0">
      <alignment horizontal="centerContinuous"/>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 fontId="23" fillId="25" borderId="15">
      <alignment horizontal="right"/>
    </xf>
    <xf numFmtId="3" fontId="23" fillId="25" borderId="8"/>
    <xf numFmtId="3" fontId="22" fillId="25" borderId="0">
      <alignment horizontal="right"/>
    </xf>
    <xf numFmtId="3" fontId="22" fillId="25" borderId="16"/>
    <xf numFmtId="0" fontId="23" fillId="25" borderId="0">
      <alignment horizontal="right"/>
    </xf>
    <xf numFmtId="3" fontId="23" fillId="25" borderId="17"/>
    <xf numFmtId="0" fontId="29" fillId="0" borderId="0" applyNumberFormat="0" applyFill="0" applyBorder="0" applyAlignment="0" applyProtection="0"/>
    <xf numFmtId="0" fontId="30" fillId="0" borderId="18" applyNumberFormat="0" applyFill="0" applyAlignment="0" applyProtection="0"/>
    <xf numFmtId="0" fontId="31" fillId="0" borderId="0" applyNumberFormat="0" applyFill="0" applyBorder="0" applyAlignment="0" applyProtection="0"/>
    <xf numFmtId="43" fontId="53" fillId="0" borderId="0" applyFont="0" applyFill="0" applyBorder="0" applyAlignment="0" applyProtection="0"/>
  </cellStyleXfs>
  <cellXfs count="600">
    <xf numFmtId="0" fontId="0" fillId="0" borderId="0" xfId="0"/>
    <xf numFmtId="44" fontId="0" fillId="0" borderId="0" xfId="39" applyFont="1"/>
    <xf numFmtId="44" fontId="0" fillId="0" borderId="0" xfId="0" applyNumberFormat="1"/>
    <xf numFmtId="0" fontId="4" fillId="0" borderId="0" xfId="0" applyFont="1"/>
    <xf numFmtId="2" fontId="0" fillId="0" borderId="0" xfId="0" applyNumberFormat="1"/>
    <xf numFmtId="0" fontId="4" fillId="0" borderId="0" xfId="0" applyFont="1" applyAlignment="1">
      <alignment wrapText="1"/>
    </xf>
    <xf numFmtId="165" fontId="0" fillId="0" borderId="0" xfId="0" applyNumberFormat="1"/>
    <xf numFmtId="1" fontId="0" fillId="0" borderId="0" xfId="0" applyNumberFormat="1"/>
    <xf numFmtId="0" fontId="4" fillId="0" borderId="20" xfId="0" applyFont="1" applyBorder="1"/>
    <xf numFmtId="0" fontId="4" fillId="26" borderId="19" xfId="0" applyFont="1" applyFill="1" applyBorder="1"/>
    <xf numFmtId="0" fontId="0" fillId="0" borderId="21" xfId="0" applyBorder="1"/>
    <xf numFmtId="44" fontId="0" fillId="0" borderId="21" xfId="0" applyNumberFormat="1" applyBorder="1"/>
    <xf numFmtId="165" fontId="0" fillId="0" borderId="21" xfId="0" applyNumberFormat="1" applyBorder="1"/>
    <xf numFmtId="44" fontId="0" fillId="0" borderId="21" xfId="39" applyFont="1" applyBorder="1"/>
    <xf numFmtId="0" fontId="0" fillId="0" borderId="22" xfId="0" applyBorder="1"/>
    <xf numFmtId="44" fontId="0" fillId="0" borderId="22" xfId="0" applyNumberFormat="1" applyBorder="1"/>
    <xf numFmtId="165" fontId="0" fillId="0" borderId="22" xfId="0" applyNumberFormat="1" applyBorder="1"/>
    <xf numFmtId="44" fontId="0" fillId="0" borderId="22" xfId="39" applyFont="1" applyBorder="1"/>
    <xf numFmtId="0" fontId="0" fillId="0" borderId="23" xfId="0" applyBorder="1"/>
    <xf numFmtId="44" fontId="0" fillId="0" borderId="23" xfId="0" applyNumberFormat="1" applyBorder="1"/>
    <xf numFmtId="165" fontId="0" fillId="0" borderId="23" xfId="0" applyNumberFormat="1" applyBorder="1"/>
    <xf numFmtId="44" fontId="0" fillId="0" borderId="23" xfId="39" applyFont="1" applyBorder="1"/>
    <xf numFmtId="0" fontId="4" fillId="0" borderId="23" xfId="0" applyFont="1" applyBorder="1"/>
    <xf numFmtId="165" fontId="4" fillId="0" borderId="23" xfId="0" applyNumberFormat="1" applyFont="1" applyBorder="1"/>
    <xf numFmtId="44" fontId="4" fillId="0" borderId="23" xfId="39" applyFont="1" applyBorder="1"/>
    <xf numFmtId="0" fontId="4" fillId="0" borderId="24" xfId="0" applyFont="1" applyBorder="1"/>
    <xf numFmtId="44" fontId="4" fillId="0" borderId="24" xfId="39" applyFont="1" applyBorder="1"/>
    <xf numFmtId="0" fontId="0" fillId="29" borderId="24" xfId="0" applyFill="1" applyBorder="1"/>
    <xf numFmtId="0" fontId="4" fillId="29" borderId="24" xfId="0" applyFont="1" applyFill="1" applyBorder="1"/>
    <xf numFmtId="0" fontId="4" fillId="26" borderId="34" xfId="0" applyFont="1" applyFill="1" applyBorder="1"/>
    <xf numFmtId="0" fontId="4" fillId="26" borderId="35" xfId="0" applyFont="1" applyFill="1" applyBorder="1"/>
    <xf numFmtId="44" fontId="4" fillId="26" borderId="36" xfId="39" applyFont="1" applyFill="1" applyBorder="1"/>
    <xf numFmtId="165" fontId="0" fillId="0" borderId="24" xfId="0" applyNumberFormat="1" applyBorder="1"/>
    <xf numFmtId="0" fontId="0" fillId="0" borderId="0" xfId="0" applyAlignment="1">
      <alignment horizontal="left"/>
    </xf>
    <xf numFmtId="0" fontId="1" fillId="0" borderId="0" xfId="1"/>
    <xf numFmtId="0" fontId="33" fillId="0" borderId="0" xfId="1" applyFont="1" applyAlignment="1">
      <alignment horizontal="left"/>
    </xf>
    <xf numFmtId="0" fontId="4" fillId="0" borderId="0" xfId="1" applyFont="1"/>
    <xf numFmtId="0" fontId="32" fillId="0" borderId="0" xfId="1" applyFont="1"/>
    <xf numFmtId="44" fontId="1" fillId="0" borderId="0" xfId="39"/>
    <xf numFmtId="166" fontId="1" fillId="26" borderId="19" xfId="39" applyNumberFormat="1" applyFill="1" applyBorder="1"/>
    <xf numFmtId="0" fontId="4" fillId="0" borderId="0" xfId="1" applyFont="1" applyAlignment="1">
      <alignment horizontal="left"/>
    </xf>
    <xf numFmtId="44" fontId="34" fillId="0" borderId="19" xfId="39" applyFont="1" applyBorder="1"/>
    <xf numFmtId="0" fontId="4" fillId="0" borderId="34" xfId="1" applyFont="1" applyBorder="1"/>
    <xf numFmtId="0" fontId="4" fillId="0" borderId="35" xfId="1" applyFont="1" applyBorder="1"/>
    <xf numFmtId="0" fontId="4" fillId="29" borderId="24" xfId="0" applyFont="1" applyFill="1" applyBorder="1" applyAlignment="1">
      <alignment horizontal="left"/>
    </xf>
    <xf numFmtId="0" fontId="0" fillId="0" borderId="24" xfId="0" applyBorder="1" applyAlignment="1">
      <alignment horizontal="left" wrapText="1"/>
    </xf>
    <xf numFmtId="0" fontId="0" fillId="0" borderId="0" xfId="0" applyAlignment="1">
      <alignment horizontal="left" wrapText="1"/>
    </xf>
    <xf numFmtId="166" fontId="0" fillId="0" borderId="24" xfId="0" applyNumberFormat="1" applyBorder="1" applyAlignment="1">
      <alignment horizontal="left" wrapText="1"/>
    </xf>
    <xf numFmtId="0" fontId="0" fillId="0" borderId="0" xfId="0" applyAlignment="1">
      <alignment vertical="top"/>
    </xf>
    <xf numFmtId="0" fontId="4" fillId="0" borderId="0" xfId="0" applyFont="1" applyAlignment="1">
      <alignment vertical="top"/>
    </xf>
    <xf numFmtId="0" fontId="4" fillId="0" borderId="37" xfId="0" applyFont="1" applyBorder="1" applyAlignment="1">
      <alignment vertical="top"/>
    </xf>
    <xf numFmtId="0" fontId="4" fillId="0" borderId="38" xfId="0" applyFont="1" applyBorder="1" applyAlignment="1">
      <alignment vertical="top" wrapText="1"/>
    </xf>
    <xf numFmtId="0" fontId="4" fillId="0" borderId="39" xfId="0" applyFont="1" applyBorder="1" applyAlignment="1">
      <alignment vertical="top"/>
    </xf>
    <xf numFmtId="0" fontId="35" fillId="0" borderId="0" xfId="1" applyFont="1"/>
    <xf numFmtId="1" fontId="36" fillId="0" borderId="0" xfId="0" applyNumberFormat="1" applyFont="1"/>
    <xf numFmtId="0" fontId="36" fillId="0" borderId="0" xfId="1" applyFont="1" applyAlignment="1">
      <alignment horizontal="left"/>
    </xf>
    <xf numFmtId="0" fontId="36" fillId="0" borderId="0" xfId="0" applyFont="1"/>
    <xf numFmtId="0" fontId="34" fillId="0" borderId="0" xfId="0" applyFont="1" applyAlignment="1">
      <alignment vertical="top"/>
    </xf>
    <xf numFmtId="0" fontId="37" fillId="0" borderId="0" xfId="0" applyFont="1"/>
    <xf numFmtId="0" fontId="0" fillId="0" borderId="41" xfId="0" applyBorder="1"/>
    <xf numFmtId="0" fontId="1" fillId="0" borderId="0" xfId="0" applyFont="1"/>
    <xf numFmtId="0" fontId="0" fillId="0" borderId="24" xfId="0" applyBorder="1" applyAlignment="1">
      <alignment horizontal="left"/>
    </xf>
    <xf numFmtId="0" fontId="0" fillId="0" borderId="9" xfId="0" applyBorder="1"/>
    <xf numFmtId="0" fontId="0" fillId="0" borderId="42" xfId="0" applyBorder="1"/>
    <xf numFmtId="0" fontId="0" fillId="0" borderId="14" xfId="0" applyBorder="1"/>
    <xf numFmtId="0" fontId="0" fillId="0" borderId="43" xfId="0" applyBorder="1"/>
    <xf numFmtId="0" fontId="4" fillId="0" borderId="44" xfId="0" applyFont="1" applyBorder="1" applyAlignment="1">
      <alignment vertical="top"/>
    </xf>
    <xf numFmtId="0" fontId="1" fillId="0" borderId="22" xfId="0" applyFont="1" applyBorder="1"/>
    <xf numFmtId="44" fontId="0" fillId="0" borderId="0" xfId="39" applyFont="1" applyBorder="1"/>
    <xf numFmtId="0" fontId="1" fillId="0" borderId="23" xfId="0" applyFont="1" applyBorder="1"/>
    <xf numFmtId="0" fontId="42" fillId="0" borderId="0" xfId="0" applyFont="1"/>
    <xf numFmtId="0" fontId="43" fillId="0" borderId="0" xfId="0" applyFont="1"/>
    <xf numFmtId="44" fontId="43" fillId="0" borderId="0" xfId="39" applyFont="1" applyBorder="1"/>
    <xf numFmtId="0" fontId="0" fillId="0" borderId="46" xfId="0" applyBorder="1"/>
    <xf numFmtId="0" fontId="0" fillId="0" borderId="47" xfId="0" applyBorder="1"/>
    <xf numFmtId="44" fontId="0" fillId="0" borderId="9" xfId="39" applyFont="1" applyBorder="1"/>
    <xf numFmtId="44" fontId="0" fillId="0" borderId="43" xfId="39" applyFont="1" applyBorder="1"/>
    <xf numFmtId="0" fontId="43" fillId="0" borderId="24" xfId="0" applyFont="1" applyBorder="1" applyAlignment="1">
      <alignment wrapText="1"/>
    </xf>
    <xf numFmtId="0" fontId="43" fillId="0" borderId="0" xfId="0" applyFont="1" applyAlignment="1">
      <alignment wrapText="1"/>
    </xf>
    <xf numFmtId="0" fontId="43" fillId="0" borderId="22" xfId="0" applyFont="1" applyBorder="1"/>
    <xf numFmtId="0" fontId="0" fillId="0" borderId="41" xfId="0" applyBorder="1" applyAlignment="1">
      <alignment horizontal="left"/>
    </xf>
    <xf numFmtId="0" fontId="43" fillId="0" borderId="41" xfId="0" applyFont="1" applyBorder="1" applyAlignment="1">
      <alignment horizontal="left"/>
    </xf>
    <xf numFmtId="0" fontId="43" fillId="0" borderId="41" xfId="0" applyFont="1" applyBorder="1"/>
    <xf numFmtId="0" fontId="0" fillId="0" borderId="49" xfId="0" applyBorder="1"/>
    <xf numFmtId="0" fontId="1" fillId="0" borderId="21" xfId="0" applyFont="1" applyBorder="1"/>
    <xf numFmtId="0" fontId="4" fillId="0" borderId="50" xfId="0" applyFont="1" applyBorder="1" applyAlignment="1">
      <alignment vertical="top"/>
    </xf>
    <xf numFmtId="0" fontId="4" fillId="0" borderId="51" xfId="0" applyFont="1" applyBorder="1" applyAlignment="1">
      <alignment vertical="top" wrapText="1"/>
    </xf>
    <xf numFmtId="44" fontId="0" fillId="0" borderId="24" xfId="86" applyNumberFormat="1" applyFont="1" applyBorder="1"/>
    <xf numFmtId="0" fontId="0" fillId="0" borderId="24" xfId="0" applyBorder="1"/>
    <xf numFmtId="44" fontId="0" fillId="0" borderId="17" xfId="39" applyFont="1" applyBorder="1"/>
    <xf numFmtId="0" fontId="0" fillId="0" borderId="0" xfId="0" applyAlignment="1">
      <alignment horizontal="center"/>
    </xf>
    <xf numFmtId="0" fontId="1" fillId="0" borderId="0" xfId="0" applyFont="1" applyAlignment="1">
      <alignment vertical="top"/>
    </xf>
    <xf numFmtId="0" fontId="1" fillId="0" borderId="45" xfId="0" applyFont="1" applyBorder="1" applyAlignment="1">
      <alignment vertical="top" wrapText="1"/>
    </xf>
    <xf numFmtId="0" fontId="1" fillId="0" borderId="41" xfId="0" applyFont="1" applyBorder="1"/>
    <xf numFmtId="3" fontId="43" fillId="0" borderId="22" xfId="0" applyNumberFormat="1" applyFont="1" applyBorder="1"/>
    <xf numFmtId="44" fontId="1" fillId="0" borderId="24" xfId="39" applyFill="1" applyBorder="1"/>
    <xf numFmtId="0" fontId="4" fillId="0" borderId="34" xfId="0" applyFont="1" applyBorder="1" applyAlignment="1">
      <alignment vertical="top"/>
    </xf>
    <xf numFmtId="0" fontId="4" fillId="0" borderId="36" xfId="0" applyFont="1" applyBorder="1" applyAlignment="1">
      <alignment vertical="top" wrapText="1"/>
    </xf>
    <xf numFmtId="0" fontId="0" fillId="0" borderId="36" xfId="0" applyBorder="1" applyAlignment="1">
      <alignment vertical="top"/>
    </xf>
    <xf numFmtId="0" fontId="1" fillId="0" borderId="24" xfId="0" applyFont="1" applyBorder="1"/>
    <xf numFmtId="44" fontId="0" fillId="0" borderId="24" xfId="39" applyFont="1" applyBorder="1"/>
    <xf numFmtId="0" fontId="1" fillId="0" borderId="42" xfId="0" applyFont="1" applyBorder="1"/>
    <xf numFmtId="44" fontId="0" fillId="0" borderId="48" xfId="39" applyFont="1" applyBorder="1"/>
    <xf numFmtId="44" fontId="0" fillId="0" borderId="14" xfId="39" applyFont="1" applyBorder="1"/>
    <xf numFmtId="0" fontId="1" fillId="0" borderId="49" xfId="0" applyFont="1" applyBorder="1"/>
    <xf numFmtId="0" fontId="0" fillId="0" borderId="48" xfId="0" applyBorder="1"/>
    <xf numFmtId="0" fontId="4" fillId="0" borderId="53" xfId="0" applyFont="1" applyBorder="1" applyAlignment="1">
      <alignment vertical="top"/>
    </xf>
    <xf numFmtId="0" fontId="4" fillId="0" borderId="33" xfId="0" applyFont="1" applyBorder="1" applyAlignment="1">
      <alignment vertical="top"/>
    </xf>
    <xf numFmtId="0" fontId="0" fillId="0" borderId="32" xfId="0" applyBorder="1" applyAlignment="1">
      <alignment vertical="top"/>
    </xf>
    <xf numFmtId="0" fontId="4" fillId="0" borderId="37" xfId="0" applyFont="1" applyBorder="1" applyAlignment="1">
      <alignment horizontal="right" vertical="top"/>
    </xf>
    <xf numFmtId="169" fontId="1" fillId="31" borderId="19" xfId="1" applyNumberFormat="1" applyFill="1" applyBorder="1"/>
    <xf numFmtId="44" fontId="0" fillId="0" borderId="24" xfId="0" applyNumberFormat="1" applyBorder="1"/>
    <xf numFmtId="170" fontId="0" fillId="0" borderId="24" xfId="39" applyNumberFormat="1" applyFont="1" applyBorder="1"/>
    <xf numFmtId="44" fontId="0" fillId="0" borderId="45" xfId="0" applyNumberFormat="1" applyBorder="1"/>
    <xf numFmtId="44" fontId="0" fillId="0" borderId="38" xfId="0" applyNumberFormat="1" applyBorder="1"/>
    <xf numFmtId="44" fontId="0" fillId="0" borderId="55" xfId="39" applyFont="1" applyBorder="1"/>
    <xf numFmtId="44" fontId="0" fillId="0" borderId="40" xfId="0" applyNumberFormat="1" applyBorder="1"/>
    <xf numFmtId="2" fontId="4" fillId="29" borderId="33" xfId="0" applyNumberFormat="1" applyFont="1" applyFill="1" applyBorder="1" applyAlignment="1">
      <alignment wrapText="1"/>
    </xf>
    <xf numFmtId="2" fontId="4" fillId="29" borderId="25" xfId="0" applyNumberFormat="1" applyFont="1" applyFill="1" applyBorder="1" applyAlignment="1">
      <alignment wrapText="1"/>
    </xf>
    <xf numFmtId="2" fontId="0" fillId="0" borderId="0" xfId="0" applyNumberFormat="1" applyAlignment="1">
      <alignment horizontal="center" vertical="center"/>
    </xf>
    <xf numFmtId="8" fontId="4" fillId="28" borderId="27" xfId="39" applyNumberFormat="1" applyFont="1" applyFill="1" applyBorder="1" applyAlignment="1">
      <alignment horizontal="center" vertical="center"/>
    </xf>
    <xf numFmtId="44" fontId="4" fillId="28" borderId="28" xfId="39" applyFont="1" applyFill="1" applyBorder="1" applyAlignment="1">
      <alignment horizontal="center" vertical="center"/>
    </xf>
    <xf numFmtId="44" fontId="0" fillId="28" borderId="28" xfId="39" applyFont="1" applyFill="1" applyBorder="1" applyAlignment="1">
      <alignment horizontal="center" vertical="center"/>
    </xf>
    <xf numFmtId="0" fontId="0" fillId="28" borderId="28" xfId="0" applyFill="1" applyBorder="1" applyAlignment="1">
      <alignment horizontal="center" vertical="center"/>
    </xf>
    <xf numFmtId="44" fontId="0" fillId="28" borderId="28" xfId="0" applyNumberFormat="1" applyFill="1" applyBorder="1" applyAlignment="1">
      <alignment horizontal="center" vertical="center"/>
    </xf>
    <xf numFmtId="10" fontId="0" fillId="28" borderId="28" xfId="86" applyNumberFormat="1" applyFont="1" applyFill="1" applyBorder="1" applyAlignment="1">
      <alignment horizontal="center" vertical="center"/>
    </xf>
    <xf numFmtId="44" fontId="4" fillId="28" borderId="26" xfId="39" applyFont="1" applyFill="1" applyBorder="1" applyAlignment="1">
      <alignment horizontal="center" vertical="center" wrapText="1"/>
    </xf>
    <xf numFmtId="44" fontId="0" fillId="0" borderId="23" xfId="39" applyFont="1" applyBorder="1" applyAlignment="1">
      <alignment horizontal="center" vertical="center"/>
    </xf>
    <xf numFmtId="44" fontId="1" fillId="0" borderId="24" xfId="39" applyFont="1" applyBorder="1" applyAlignment="1">
      <alignment horizontal="center" vertical="center"/>
    </xf>
    <xf numFmtId="44" fontId="0" fillId="0" borderId="24" xfId="39" applyFont="1" applyBorder="1" applyAlignment="1">
      <alignment horizontal="center" vertical="center"/>
    </xf>
    <xf numFmtId="44" fontId="1" fillId="0" borderId="55" xfId="39" applyFont="1" applyBorder="1" applyAlignment="1">
      <alignment horizontal="center" vertical="center"/>
    </xf>
    <xf numFmtId="44" fontId="0" fillId="0" borderId="55" xfId="39" applyFont="1" applyBorder="1" applyAlignment="1">
      <alignment horizontal="center" vertical="center"/>
    </xf>
    <xf numFmtId="0" fontId="0" fillId="0" borderId="0" xfId="0" applyAlignment="1">
      <alignment horizontal="center" vertical="center"/>
    </xf>
    <xf numFmtId="44" fontId="0" fillId="0" borderId="0" xfId="39" applyFont="1" applyAlignment="1">
      <alignment horizontal="center" vertical="center"/>
    </xf>
    <xf numFmtId="10" fontId="0" fillId="0" borderId="0" xfId="86" applyNumberFormat="1" applyFont="1" applyAlignment="1">
      <alignment horizontal="center" vertical="center"/>
    </xf>
    <xf numFmtId="0" fontId="1" fillId="0" borderId="0" xfId="0" applyFont="1" applyAlignment="1">
      <alignment horizontal="center" vertical="center"/>
    </xf>
    <xf numFmtId="44" fontId="0" fillId="0" borderId="0" xfId="0" applyNumberFormat="1" applyAlignment="1">
      <alignment horizontal="center" vertical="center"/>
    </xf>
    <xf numFmtId="10" fontId="2" fillId="0" borderId="0" xfId="86" applyNumberFormat="1" applyFont="1" applyFill="1" applyAlignment="1" applyProtection="1">
      <alignment horizontal="center" vertical="center"/>
    </xf>
    <xf numFmtId="44" fontId="1" fillId="0" borderId="54" xfId="39" applyFont="1" applyBorder="1" applyAlignment="1">
      <alignment horizontal="center" vertical="center"/>
    </xf>
    <xf numFmtId="44" fontId="0" fillId="0" borderId="54" xfId="39" applyFont="1" applyBorder="1" applyAlignment="1">
      <alignment horizontal="center" vertical="center"/>
    </xf>
    <xf numFmtId="1" fontId="1" fillId="0" borderId="0" xfId="0" applyNumberFormat="1" applyFont="1"/>
    <xf numFmtId="1" fontId="1" fillId="0" borderId="0" xfId="0" applyNumberFormat="1" applyFont="1" applyAlignment="1">
      <alignment horizontal="center" vertical="center"/>
    </xf>
    <xf numFmtId="2" fontId="1" fillId="0" borderId="0" xfId="0" applyNumberFormat="1" applyFont="1"/>
    <xf numFmtId="2" fontId="1" fillId="0" borderId="0" xfId="0" applyNumberFormat="1" applyFont="1" applyAlignment="1">
      <alignment horizontal="center" vertical="center"/>
    </xf>
    <xf numFmtId="0" fontId="1" fillId="0" borderId="44" xfId="0" applyFont="1" applyBorder="1"/>
    <xf numFmtId="0" fontId="1" fillId="0" borderId="37" xfId="0" applyFont="1" applyBorder="1"/>
    <xf numFmtId="1" fontId="1" fillId="0" borderId="37" xfId="0" applyNumberFormat="1" applyFont="1" applyBorder="1"/>
    <xf numFmtId="0" fontId="1" fillId="0" borderId="39" xfId="0" applyFont="1" applyBorder="1"/>
    <xf numFmtId="165" fontId="1" fillId="0" borderId="0" xfId="0" applyNumberFormat="1" applyFont="1" applyAlignment="1">
      <alignment horizontal="center" vertical="center"/>
    </xf>
    <xf numFmtId="44" fontId="4" fillId="34" borderId="27" xfId="39" applyFont="1" applyFill="1" applyBorder="1" applyAlignment="1">
      <alignment wrapText="1"/>
    </xf>
    <xf numFmtId="0" fontId="4" fillId="34" borderId="28" xfId="0" applyFont="1" applyFill="1" applyBorder="1" applyAlignment="1">
      <alignment wrapText="1"/>
    </xf>
    <xf numFmtId="44" fontId="4" fillId="34" borderId="28" xfId="39" applyFont="1" applyFill="1" applyBorder="1" applyAlignment="1">
      <alignment wrapText="1"/>
    </xf>
    <xf numFmtId="0" fontId="4" fillId="30" borderId="27" xfId="0" applyFont="1" applyFill="1" applyBorder="1" applyAlignment="1">
      <alignment wrapText="1"/>
    </xf>
    <xf numFmtId="0" fontId="4" fillId="30" borderId="28" xfId="0" applyFont="1" applyFill="1" applyBorder="1" applyAlignment="1">
      <alignment wrapText="1"/>
    </xf>
    <xf numFmtId="44" fontId="0" fillId="0" borderId="54" xfId="39" applyFont="1" applyBorder="1"/>
    <xf numFmtId="0" fontId="47" fillId="0" borderId="0" xfId="0" applyFont="1"/>
    <xf numFmtId="0" fontId="48" fillId="0" borderId="0" xfId="0" applyFont="1"/>
    <xf numFmtId="0" fontId="1" fillId="0" borderId="0" xfId="0" applyFont="1" applyAlignment="1">
      <alignment horizontal="center"/>
    </xf>
    <xf numFmtId="0" fontId="49" fillId="0" borderId="0" xfId="0" applyFont="1" applyAlignment="1">
      <alignment horizontal="center"/>
    </xf>
    <xf numFmtId="0" fontId="1" fillId="0" borderId="24" xfId="0" applyFont="1" applyBorder="1" applyAlignment="1">
      <alignment horizontal="center"/>
    </xf>
    <xf numFmtId="0" fontId="45" fillId="0" borderId="24" xfId="0" applyFont="1" applyBorder="1" applyAlignment="1">
      <alignment horizontal="center"/>
    </xf>
    <xf numFmtId="3" fontId="45" fillId="0" borderId="24" xfId="0" applyNumberFormat="1" applyFont="1" applyBorder="1" applyAlignment="1">
      <alignment horizontal="center"/>
    </xf>
    <xf numFmtId="8" fontId="45" fillId="0" borderId="24" xfId="0" applyNumberFormat="1" applyFont="1" applyBorder="1" applyAlignment="1">
      <alignment horizontal="center"/>
    </xf>
    <xf numFmtId="8" fontId="1" fillId="0" borderId="24" xfId="0" applyNumberFormat="1" applyFont="1" applyBorder="1" applyAlignment="1">
      <alignment horizontal="center"/>
    </xf>
    <xf numFmtId="44" fontId="45" fillId="0" borderId="24" xfId="0" applyNumberFormat="1" applyFont="1" applyBorder="1" applyAlignment="1">
      <alignment horizontal="center"/>
    </xf>
    <xf numFmtId="0" fontId="50" fillId="0" borderId="0" xfId="0" applyFont="1"/>
    <xf numFmtId="3" fontId="1" fillId="0" borderId="24" xfId="0" applyNumberFormat="1" applyFont="1" applyBorder="1" applyAlignment="1">
      <alignment horizontal="center"/>
    </xf>
    <xf numFmtId="0" fontId="45" fillId="0" borderId="21" xfId="0" applyFont="1" applyBorder="1" applyAlignment="1">
      <alignment horizontal="center"/>
    </xf>
    <xf numFmtId="3" fontId="45" fillId="0" borderId="23" xfId="0" applyNumberFormat="1" applyFont="1" applyBorder="1" applyAlignment="1">
      <alignment horizontal="center"/>
    </xf>
    <xf numFmtId="3" fontId="45" fillId="31" borderId="19" xfId="0" applyNumberFormat="1" applyFont="1" applyFill="1" applyBorder="1" applyAlignment="1">
      <alignment horizontal="center"/>
    </xf>
    <xf numFmtId="0" fontId="1" fillId="0" borderId="21" xfId="0" applyFont="1" applyBorder="1" applyAlignment="1">
      <alignment horizontal="center"/>
    </xf>
    <xf numFmtId="3" fontId="1" fillId="31" borderId="19" xfId="0" applyNumberFormat="1" applyFont="1" applyFill="1" applyBorder="1" applyAlignment="1">
      <alignment horizontal="center"/>
    </xf>
    <xf numFmtId="0" fontId="4" fillId="0" borderId="44" xfId="0" applyFont="1" applyBorder="1"/>
    <xf numFmtId="0" fontId="4" fillId="0" borderId="45" xfId="0" applyFont="1" applyBorder="1" applyAlignment="1">
      <alignment horizontal="center"/>
    </xf>
    <xf numFmtId="0" fontId="4" fillId="0" borderId="38" xfId="0" applyFont="1" applyBorder="1" applyAlignment="1">
      <alignment horizontal="center"/>
    </xf>
    <xf numFmtId="0" fontId="4" fillId="0" borderId="37" xfId="0" applyFont="1" applyBorder="1"/>
    <xf numFmtId="3" fontId="4" fillId="0" borderId="38" xfId="0" applyNumberFormat="1" applyFont="1" applyBorder="1" applyAlignment="1">
      <alignment horizontal="center"/>
    </xf>
    <xf numFmtId="0" fontId="4" fillId="0" borderId="56" xfId="0" applyFont="1" applyBorder="1"/>
    <xf numFmtId="0" fontId="4" fillId="0" borderId="57" xfId="0" applyFont="1" applyBorder="1" applyAlignment="1">
      <alignment horizontal="center"/>
    </xf>
    <xf numFmtId="44" fontId="4" fillId="0" borderId="38" xfId="0" applyNumberFormat="1" applyFont="1" applyBorder="1" applyAlignment="1">
      <alignment horizontal="center"/>
    </xf>
    <xf numFmtId="0" fontId="4" fillId="0" borderId="39" xfId="0" applyFont="1" applyBorder="1"/>
    <xf numFmtId="6" fontId="1" fillId="0" borderId="55" xfId="0" applyNumberFormat="1" applyFont="1" applyBorder="1" applyAlignment="1">
      <alignment horizontal="center"/>
    </xf>
    <xf numFmtId="6" fontId="4" fillId="0" borderId="40" xfId="0" applyNumberFormat="1" applyFont="1" applyBorder="1" applyAlignment="1">
      <alignment horizontal="center"/>
    </xf>
    <xf numFmtId="169" fontId="1" fillId="0" borderId="24" xfId="0" applyNumberFormat="1" applyFont="1" applyBorder="1" applyAlignment="1">
      <alignment horizontal="center"/>
    </xf>
    <xf numFmtId="169" fontId="4" fillId="0" borderId="38" xfId="0" applyNumberFormat="1" applyFont="1" applyBorder="1" applyAlignment="1">
      <alignment horizontal="center"/>
    </xf>
    <xf numFmtId="169" fontId="45" fillId="0" borderId="24" xfId="0" applyNumberFormat="1" applyFont="1" applyBorder="1" applyAlignment="1">
      <alignment horizontal="center"/>
    </xf>
    <xf numFmtId="0" fontId="1" fillId="0" borderId="53" xfId="0" applyFont="1" applyBorder="1"/>
    <xf numFmtId="0" fontId="44" fillId="0" borderId="21" xfId="0" applyFont="1" applyBorder="1" applyAlignment="1">
      <alignment horizontal="center"/>
    </xf>
    <xf numFmtId="0" fontId="4" fillId="0" borderId="21" xfId="0" applyFont="1" applyBorder="1" applyAlignment="1">
      <alignment horizontal="center"/>
    </xf>
    <xf numFmtId="0" fontId="4" fillId="0" borderId="58" xfId="0" applyFont="1" applyBorder="1" applyAlignment="1">
      <alignment horizontal="center"/>
    </xf>
    <xf numFmtId="3" fontId="45" fillId="0" borderId="54" xfId="0" applyNumberFormat="1" applyFont="1" applyBorder="1" applyAlignment="1">
      <alignment horizontal="center"/>
    </xf>
    <xf numFmtId="3" fontId="4" fillId="0" borderId="45" xfId="0" applyNumberFormat="1" applyFont="1" applyBorder="1" applyAlignment="1">
      <alignment horizontal="center"/>
    </xf>
    <xf numFmtId="6" fontId="45" fillId="0" borderId="55" xfId="0" applyNumberFormat="1" applyFont="1" applyBorder="1" applyAlignment="1">
      <alignment horizontal="center"/>
    </xf>
    <xf numFmtId="169" fontId="43" fillId="0" borderId="22" xfId="39" applyNumberFormat="1" applyFont="1" applyBorder="1"/>
    <xf numFmtId="169" fontId="43" fillId="0" borderId="22" xfId="0" applyNumberFormat="1" applyFont="1" applyBorder="1"/>
    <xf numFmtId="169" fontId="43" fillId="0" borderId="0" xfId="0" applyNumberFormat="1" applyFont="1"/>
    <xf numFmtId="7" fontId="1" fillId="0" borderId="0" xfId="39" applyNumberFormat="1"/>
    <xf numFmtId="42" fontId="4" fillId="0" borderId="0" xfId="0" applyNumberFormat="1" applyFont="1"/>
    <xf numFmtId="42" fontId="4" fillId="0" borderId="25" xfId="39" applyNumberFormat="1" applyFont="1" applyBorder="1" applyAlignment="1">
      <alignment horizontal="center" vertical="center"/>
    </xf>
    <xf numFmtId="42" fontId="4" fillId="0" borderId="26" xfId="39" applyNumberFormat="1" applyFont="1" applyBorder="1" applyAlignment="1">
      <alignment horizontal="center" vertical="center"/>
    </xf>
    <xf numFmtId="42" fontId="4" fillId="0" borderId="34" xfId="39" applyNumberFormat="1" applyFont="1" applyBorder="1"/>
    <xf numFmtId="42" fontId="4" fillId="0" borderId="35" xfId="39" applyNumberFormat="1" applyFont="1" applyBorder="1"/>
    <xf numFmtId="42" fontId="4" fillId="0" borderId="52" xfId="39" applyNumberFormat="1" applyFont="1" applyBorder="1"/>
    <xf numFmtId="42" fontId="4" fillId="0" borderId="26" xfId="39" applyNumberFormat="1" applyFont="1" applyBorder="1"/>
    <xf numFmtId="42" fontId="4" fillId="0" borderId="36" xfId="39" applyNumberFormat="1" applyFont="1" applyBorder="1"/>
    <xf numFmtId="42" fontId="4" fillId="0" borderId="25" xfId="0" applyNumberFormat="1" applyFont="1" applyBorder="1"/>
    <xf numFmtId="42" fontId="4" fillId="0" borderId="26" xfId="0" applyNumberFormat="1" applyFont="1" applyBorder="1"/>
    <xf numFmtId="42" fontId="4" fillId="0" borderId="30" xfId="0" applyNumberFormat="1" applyFont="1" applyBorder="1"/>
    <xf numFmtId="0" fontId="1" fillId="0" borderId="40" xfId="0" applyFont="1" applyBorder="1" applyAlignment="1">
      <alignment vertical="top" wrapText="1"/>
    </xf>
    <xf numFmtId="0" fontId="4" fillId="27" borderId="28" xfId="0" applyFont="1" applyFill="1" applyBorder="1" applyAlignment="1">
      <alignment horizontal="center" vertical="center" wrapText="1"/>
    </xf>
    <xf numFmtId="0" fontId="1" fillId="0" borderId="60" xfId="0" applyFont="1" applyBorder="1"/>
    <xf numFmtId="0" fontId="1" fillId="0" borderId="46" xfId="0" applyFont="1" applyBorder="1"/>
    <xf numFmtId="0" fontId="35" fillId="0" borderId="46" xfId="1" applyFont="1" applyBorder="1"/>
    <xf numFmtId="0" fontId="1" fillId="0" borderId="61" xfId="0" applyFont="1" applyBorder="1"/>
    <xf numFmtId="4" fontId="46" fillId="0" borderId="0" xfId="0" applyNumberFormat="1" applyFont="1" applyAlignment="1">
      <alignment horizontal="center" vertical="center"/>
    </xf>
    <xf numFmtId="0" fontId="4" fillId="26" borderId="52" xfId="0" applyFont="1" applyFill="1" applyBorder="1" applyAlignment="1">
      <alignment wrapText="1"/>
    </xf>
    <xf numFmtId="0" fontId="4" fillId="27" borderId="19" xfId="0" applyFont="1" applyFill="1" applyBorder="1" applyAlignment="1">
      <alignment horizontal="center" vertical="center" wrapText="1"/>
    </xf>
    <xf numFmtId="4" fontId="46" fillId="0" borderId="41" xfId="0" applyNumberFormat="1" applyFont="1" applyBorder="1" applyAlignment="1">
      <alignment horizontal="center" vertical="center"/>
    </xf>
    <xf numFmtId="4" fontId="46" fillId="0" borderId="49" xfId="0" applyNumberFormat="1" applyFont="1" applyBorder="1" applyAlignment="1">
      <alignment horizontal="center" vertical="center"/>
    </xf>
    <xf numFmtId="0" fontId="4" fillId="27" borderId="64" xfId="0" applyFont="1" applyFill="1" applyBorder="1" applyAlignment="1">
      <alignment horizontal="center" vertical="center" wrapText="1"/>
    </xf>
    <xf numFmtId="4" fontId="46" fillId="0" borderId="65" xfId="0" applyNumberFormat="1" applyFont="1" applyBorder="1" applyAlignment="1">
      <alignment horizontal="center" vertical="center"/>
    </xf>
    <xf numFmtId="4" fontId="46" fillId="0" borderId="66" xfId="0" applyNumberFormat="1" applyFont="1" applyBorder="1" applyAlignment="1">
      <alignment horizontal="center" vertical="center"/>
    </xf>
    <xf numFmtId="4" fontId="46" fillId="0" borderId="20" xfId="0" applyNumberFormat="1" applyFont="1" applyBorder="1" applyAlignment="1">
      <alignment horizontal="center" vertical="center"/>
    </xf>
    <xf numFmtId="4" fontId="46" fillId="0" borderId="33" xfId="0" applyNumberFormat="1" applyFont="1" applyBorder="1" applyAlignment="1">
      <alignment horizontal="center" vertical="center"/>
    </xf>
    <xf numFmtId="4" fontId="46" fillId="0" borderId="50" xfId="0" applyNumberFormat="1" applyFont="1" applyBorder="1" applyAlignment="1">
      <alignment horizontal="center" vertical="center"/>
    </xf>
    <xf numFmtId="4" fontId="46" fillId="0" borderId="67" xfId="0" applyNumberFormat="1" applyFont="1" applyBorder="1" applyAlignment="1">
      <alignment horizontal="center" vertical="center"/>
    </xf>
    <xf numFmtId="4" fontId="46" fillId="0" borderId="31" xfId="0" applyNumberFormat="1" applyFont="1" applyBorder="1" applyAlignment="1">
      <alignment horizontal="center" vertical="center"/>
    </xf>
    <xf numFmtId="4" fontId="46" fillId="0" borderId="68" xfId="0" applyNumberFormat="1" applyFont="1" applyBorder="1" applyAlignment="1">
      <alignment horizontal="center" vertical="center"/>
    </xf>
    <xf numFmtId="1" fontId="1" fillId="31" borderId="0" xfId="0" applyNumberFormat="1" applyFont="1" applyFill="1" applyAlignment="1">
      <alignment horizontal="center" vertical="center"/>
    </xf>
    <xf numFmtId="44" fontId="1" fillId="0" borderId="62" xfId="39" applyFont="1" applyBorder="1" applyAlignment="1">
      <alignment horizontal="center" vertical="center"/>
    </xf>
    <xf numFmtId="44" fontId="1" fillId="0" borderId="47" xfId="39" applyFont="1" applyBorder="1" applyAlignment="1">
      <alignment horizontal="center" vertical="center"/>
    </xf>
    <xf numFmtId="44" fontId="1" fillId="0" borderId="63" xfId="39" applyFont="1" applyBorder="1" applyAlignment="1">
      <alignment horizontal="center" vertical="center"/>
    </xf>
    <xf numFmtId="44" fontId="1" fillId="0" borderId="60" xfId="39" applyFont="1" applyBorder="1" applyAlignment="1">
      <alignment horizontal="center" vertical="center"/>
    </xf>
    <xf numFmtId="44" fontId="1" fillId="0" borderId="46" xfId="39" applyFont="1" applyBorder="1" applyAlignment="1">
      <alignment horizontal="center" vertical="center"/>
    </xf>
    <xf numFmtId="44" fontId="1" fillId="0" borderId="61" xfId="39" applyFont="1" applyBorder="1" applyAlignment="1">
      <alignment horizontal="center" vertical="center"/>
    </xf>
    <xf numFmtId="44" fontId="4" fillId="28" borderId="28" xfId="39" applyFont="1" applyFill="1" applyBorder="1" applyAlignment="1">
      <alignment horizontal="center" vertical="center" wrapText="1"/>
    </xf>
    <xf numFmtId="44" fontId="1" fillId="0" borderId="65" xfId="39" applyFont="1" applyBorder="1" applyAlignment="1">
      <alignment horizontal="center" vertical="center"/>
    </xf>
    <xf numFmtId="44" fontId="1" fillId="0" borderId="66" xfId="39" applyFont="1" applyBorder="1" applyAlignment="1">
      <alignment horizontal="center" vertical="center"/>
    </xf>
    <xf numFmtId="44" fontId="1" fillId="0" borderId="20" xfId="39" applyFont="1" applyBorder="1" applyAlignment="1">
      <alignment horizontal="center" vertical="center"/>
    </xf>
    <xf numFmtId="44" fontId="1" fillId="0" borderId="33" xfId="39" applyFont="1" applyBorder="1" applyAlignment="1">
      <alignment horizontal="center" vertical="center"/>
    </xf>
    <xf numFmtId="44" fontId="1" fillId="0" borderId="50" xfId="39" applyFont="1" applyBorder="1" applyAlignment="1">
      <alignment horizontal="center" vertical="center"/>
    </xf>
    <xf numFmtId="44" fontId="1" fillId="0" borderId="67" xfId="39" applyFont="1" applyBorder="1" applyAlignment="1">
      <alignment horizontal="center" vertical="center"/>
    </xf>
    <xf numFmtId="44" fontId="0" fillId="0" borderId="62" xfId="39" applyFont="1" applyBorder="1" applyAlignment="1">
      <alignment horizontal="center" vertical="center"/>
    </xf>
    <xf numFmtId="44" fontId="0" fillId="0" borderId="47" xfId="39" applyFont="1" applyBorder="1" applyAlignment="1">
      <alignment horizontal="center" vertical="center"/>
    </xf>
    <xf numFmtId="44" fontId="0" fillId="0" borderId="63" xfId="39" applyFont="1" applyBorder="1" applyAlignment="1">
      <alignment horizontal="center" vertical="center"/>
    </xf>
    <xf numFmtId="44" fontId="4" fillId="35" borderId="26" xfId="39" applyFont="1" applyFill="1" applyBorder="1" applyAlignment="1">
      <alignment horizontal="center" vertical="center" wrapText="1"/>
    </xf>
    <xf numFmtId="171" fontId="54" fillId="35" borderId="37" xfId="61" applyNumberFormat="1" applyFont="1" applyFill="1" applyBorder="1" applyAlignment="1" applyProtection="1">
      <alignment horizontal="center" vertical="center"/>
      <protection locked="0"/>
    </xf>
    <xf numFmtId="171" fontId="54" fillId="35" borderId="39" xfId="61" applyNumberFormat="1" applyFont="1" applyFill="1" applyBorder="1" applyAlignment="1" applyProtection="1">
      <alignment horizontal="center" vertical="center"/>
      <protection locked="0"/>
    </xf>
    <xf numFmtId="171" fontId="54" fillId="35" borderId="38" xfId="61" applyNumberFormat="1" applyFont="1" applyFill="1" applyBorder="1" applyAlignment="1" applyProtection="1">
      <alignment horizontal="center" vertical="center"/>
      <protection locked="0"/>
    </xf>
    <xf numFmtId="171" fontId="54" fillId="35" borderId="40" xfId="61" applyNumberFormat="1" applyFont="1" applyFill="1" applyBorder="1" applyAlignment="1" applyProtection="1">
      <alignment horizontal="center" vertical="center"/>
      <protection locked="0"/>
    </xf>
    <xf numFmtId="44" fontId="0" fillId="0" borderId="60" xfId="39" applyFont="1" applyBorder="1" applyAlignment="1">
      <alignment horizontal="center" vertical="center"/>
    </xf>
    <xf numFmtId="44" fontId="0" fillId="0" borderId="46" xfId="39" applyFont="1" applyBorder="1" applyAlignment="1">
      <alignment horizontal="center" vertical="center"/>
    </xf>
    <xf numFmtId="44" fontId="0" fillId="0" borderId="0" xfId="39" applyFont="1" applyBorder="1" applyAlignment="1">
      <alignment horizontal="center" vertical="center"/>
    </xf>
    <xf numFmtId="44" fontId="0" fillId="0" borderId="70" xfId="39" applyFont="1" applyBorder="1" applyAlignment="1">
      <alignment horizontal="center" vertical="center"/>
    </xf>
    <xf numFmtId="44" fontId="0" fillId="0" borderId="17" xfId="39" applyFont="1" applyBorder="1" applyAlignment="1">
      <alignment horizontal="center" vertical="center"/>
    </xf>
    <xf numFmtId="44" fontId="0" fillId="0" borderId="65" xfId="39" applyFont="1" applyBorder="1" applyAlignment="1">
      <alignment horizontal="center" vertical="center"/>
    </xf>
    <xf numFmtId="44" fontId="0" fillId="0" borderId="66" xfId="39" applyFont="1" applyBorder="1" applyAlignment="1">
      <alignment horizontal="center" vertical="center"/>
    </xf>
    <xf numFmtId="44" fontId="0" fillId="0" borderId="20" xfId="39" applyFont="1" applyBorder="1" applyAlignment="1">
      <alignment horizontal="center" vertical="center"/>
    </xf>
    <xf numFmtId="44" fontId="0" fillId="0" borderId="33" xfId="39" applyFont="1" applyBorder="1" applyAlignment="1">
      <alignment horizontal="center" vertical="center"/>
    </xf>
    <xf numFmtId="44" fontId="0" fillId="0" borderId="50" xfId="39" applyFont="1" applyBorder="1" applyAlignment="1">
      <alignment horizontal="center" vertical="center"/>
    </xf>
    <xf numFmtId="44" fontId="0" fillId="0" borderId="67" xfId="39" applyFont="1" applyBorder="1" applyAlignment="1">
      <alignment horizontal="center" vertical="center"/>
    </xf>
    <xf numFmtId="44" fontId="0" fillId="0" borderId="61" xfId="39" applyFont="1" applyBorder="1" applyAlignment="1">
      <alignment horizontal="center" vertical="center"/>
    </xf>
    <xf numFmtId="44" fontId="0" fillId="0" borderId="32" xfId="39" applyFont="1" applyBorder="1" applyAlignment="1">
      <alignment horizontal="center" vertical="center"/>
    </xf>
    <xf numFmtId="44" fontId="0" fillId="0" borderId="51" xfId="39" applyFont="1" applyBorder="1" applyAlignment="1">
      <alignment horizontal="center" vertical="center"/>
    </xf>
    <xf numFmtId="44" fontId="0" fillId="0" borderId="69" xfId="39" applyFont="1" applyBorder="1" applyAlignment="1">
      <alignment horizontal="center" vertical="center"/>
    </xf>
    <xf numFmtId="172" fontId="0" fillId="0" borderId="0" xfId="98" applyNumberFormat="1" applyFont="1" applyAlignment="1">
      <alignment horizontal="center" vertical="center"/>
    </xf>
    <xf numFmtId="44" fontId="0" fillId="0" borderId="65" xfId="0" applyNumberFormat="1" applyBorder="1" applyAlignment="1">
      <alignment horizontal="center" vertical="center"/>
    </xf>
    <xf numFmtId="44" fontId="0" fillId="0" borderId="66" xfId="0" applyNumberFormat="1" applyBorder="1" applyAlignment="1">
      <alignment horizontal="center" vertical="center"/>
    </xf>
    <xf numFmtId="44" fontId="0" fillId="0" borderId="20" xfId="0" applyNumberFormat="1" applyBorder="1" applyAlignment="1">
      <alignment horizontal="center" vertical="center"/>
    </xf>
    <xf numFmtId="0" fontId="4" fillId="35" borderId="28" xfId="0" applyFont="1" applyFill="1" applyBorder="1" applyAlignment="1">
      <alignment horizontal="center" vertical="center" wrapText="1"/>
    </xf>
    <xf numFmtId="44" fontId="0" fillId="0" borderId="33" xfId="0" applyNumberFormat="1" applyBorder="1" applyAlignment="1">
      <alignment horizontal="center" vertical="center"/>
    </xf>
    <xf numFmtId="44" fontId="0" fillId="0" borderId="50" xfId="0" applyNumberFormat="1" applyBorder="1" applyAlignment="1">
      <alignment horizontal="center" vertical="center"/>
    </xf>
    <xf numFmtId="44" fontId="0" fillId="0" borderId="67" xfId="0" applyNumberFormat="1" applyBorder="1" applyAlignment="1">
      <alignment horizontal="center" vertical="center"/>
    </xf>
    <xf numFmtId="10" fontId="4" fillId="35" borderId="28" xfId="86" applyNumberFormat="1" applyFont="1" applyFill="1" applyBorder="1" applyAlignment="1">
      <alignment horizontal="center" vertical="center" wrapText="1"/>
    </xf>
    <xf numFmtId="173" fontId="0" fillId="0" borderId="33" xfId="86" applyNumberFormat="1" applyFont="1" applyBorder="1" applyAlignment="1">
      <alignment horizontal="center" vertical="center"/>
    </xf>
    <xf numFmtId="173" fontId="0" fillId="0" borderId="50" xfId="86" applyNumberFormat="1" applyFont="1" applyBorder="1" applyAlignment="1">
      <alignment horizontal="center" vertical="center"/>
    </xf>
    <xf numFmtId="173" fontId="0" fillId="0" borderId="67" xfId="86" applyNumberFormat="1" applyFont="1" applyBorder="1" applyAlignment="1">
      <alignment horizontal="center" vertical="center"/>
    </xf>
    <xf numFmtId="170" fontId="0" fillId="0" borderId="65" xfId="98" applyNumberFormat="1" applyFont="1" applyBorder="1" applyAlignment="1">
      <alignment horizontal="center" vertical="center"/>
    </xf>
    <xf numFmtId="170" fontId="0" fillId="0" borderId="66" xfId="98" applyNumberFormat="1" applyFont="1" applyBorder="1" applyAlignment="1">
      <alignment horizontal="center" vertical="center"/>
    </xf>
    <xf numFmtId="170" fontId="0" fillId="0" borderId="20" xfId="98" applyNumberFormat="1" applyFont="1" applyBorder="1" applyAlignment="1">
      <alignment horizontal="center" vertical="center"/>
    </xf>
    <xf numFmtId="42" fontId="0" fillId="28" borderId="28" xfId="0" applyNumberFormat="1" applyFill="1" applyBorder="1" applyAlignment="1">
      <alignment horizontal="center" vertical="center"/>
    </xf>
    <xf numFmtId="172" fontId="1" fillId="0" borderId="0" xfId="98" applyNumberFormat="1" applyFont="1" applyAlignment="1">
      <alignment horizontal="center" vertical="center"/>
    </xf>
    <xf numFmtId="170" fontId="0" fillId="28" borderId="28" xfId="0" applyNumberFormat="1" applyFill="1" applyBorder="1" applyAlignment="1">
      <alignment horizontal="center" vertical="center"/>
    </xf>
    <xf numFmtId="170" fontId="0" fillId="0" borderId="0" xfId="39" applyNumberFormat="1" applyFont="1" applyAlignment="1">
      <alignment horizontal="center" vertical="center"/>
    </xf>
    <xf numFmtId="173" fontId="0" fillId="0" borderId="22" xfId="86" applyNumberFormat="1" applyFont="1" applyBorder="1"/>
    <xf numFmtId="172" fontId="1" fillId="27" borderId="28" xfId="98" applyNumberFormat="1" applyFont="1" applyFill="1" applyBorder="1" applyAlignment="1">
      <alignment horizontal="center" vertical="center"/>
    </xf>
    <xf numFmtId="172" fontId="4" fillId="27" borderId="26" xfId="98" applyNumberFormat="1" applyFont="1" applyFill="1" applyBorder="1" applyAlignment="1">
      <alignment horizontal="center" vertical="center" wrapText="1"/>
    </xf>
    <xf numFmtId="172" fontId="1" fillId="27" borderId="70" xfId="98" applyNumberFormat="1" applyFont="1" applyFill="1" applyBorder="1" applyAlignment="1">
      <alignment horizontal="center" vertical="center"/>
    </xf>
    <xf numFmtId="172" fontId="1" fillId="27" borderId="17" xfId="98" applyNumberFormat="1" applyFont="1" applyFill="1" applyBorder="1" applyAlignment="1">
      <alignment horizontal="center" vertical="center"/>
    </xf>
    <xf numFmtId="172" fontId="1" fillId="27" borderId="71" xfId="98" applyNumberFormat="1" applyFont="1" applyFill="1" applyBorder="1" applyAlignment="1">
      <alignment horizontal="center" vertical="center"/>
    </xf>
    <xf numFmtId="172" fontId="4" fillId="0" borderId="26" xfId="98" applyNumberFormat="1" applyFont="1" applyBorder="1" applyAlignment="1">
      <alignment horizontal="center" vertical="center"/>
    </xf>
    <xf numFmtId="43" fontId="0" fillId="0" borderId="0" xfId="98" applyFont="1"/>
    <xf numFmtId="174" fontId="0" fillId="0" borderId="0" xfId="98" applyNumberFormat="1" applyFont="1"/>
    <xf numFmtId="172" fontId="0" fillId="0" borderId="0" xfId="98" applyNumberFormat="1" applyFont="1"/>
    <xf numFmtId="5" fontId="0" fillId="0" borderId="0" xfId="98" applyNumberFormat="1" applyFont="1" applyAlignment="1">
      <alignment horizontal="center" vertical="center"/>
    </xf>
    <xf numFmtId="5" fontId="0" fillId="0" borderId="72" xfId="98" applyNumberFormat="1" applyFont="1" applyBorder="1" applyAlignment="1">
      <alignment horizontal="center" vertical="center"/>
    </xf>
    <xf numFmtId="5" fontId="0" fillId="0" borderId="57" xfId="98" applyNumberFormat="1" applyFont="1" applyBorder="1" applyAlignment="1">
      <alignment horizontal="center" vertical="center"/>
    </xf>
    <xf numFmtId="5" fontId="0" fillId="0" borderId="73" xfId="98" applyNumberFormat="1" applyFont="1" applyBorder="1" applyAlignment="1">
      <alignment horizontal="center" vertical="center"/>
    </xf>
    <xf numFmtId="5" fontId="4" fillId="0" borderId="0" xfId="98" applyNumberFormat="1" applyFont="1" applyAlignment="1">
      <alignment horizontal="center" vertical="center"/>
    </xf>
    <xf numFmtId="5" fontId="4" fillId="0" borderId="30" xfId="98" applyNumberFormat="1" applyFont="1" applyBorder="1" applyAlignment="1">
      <alignment horizontal="center" vertical="center"/>
    </xf>
    <xf numFmtId="0" fontId="0" fillId="0" borderId="0" xfId="98" applyNumberFormat="1" applyFont="1"/>
    <xf numFmtId="0" fontId="0" fillId="0" borderId="74" xfId="0" applyBorder="1" applyAlignment="1">
      <alignment horizontal="left"/>
    </xf>
    <xf numFmtId="174" fontId="55" fillId="0" borderId="75" xfId="98" applyNumberFormat="1" applyFont="1" applyBorder="1" applyAlignment="1">
      <alignment vertical="top" wrapText="1" readingOrder="1"/>
    </xf>
    <xf numFmtId="171" fontId="0" fillId="0" borderId="42" xfId="0" applyNumberFormat="1" applyBorder="1"/>
    <xf numFmtId="174" fontId="56" fillId="0" borderId="22" xfId="98" applyNumberFormat="1" applyFont="1" applyBorder="1"/>
    <xf numFmtId="170" fontId="0" fillId="0" borderId="22" xfId="0" applyNumberFormat="1" applyBorder="1"/>
    <xf numFmtId="176" fontId="0" fillId="0" borderId="22" xfId="0" applyNumberFormat="1" applyBorder="1"/>
    <xf numFmtId="177" fontId="0" fillId="0" borderId="22" xfId="39" applyNumberFormat="1" applyFont="1" applyFill="1" applyBorder="1"/>
    <xf numFmtId="170" fontId="0" fillId="0" borderId="24" xfId="0" applyNumberFormat="1" applyBorder="1" applyAlignment="1">
      <alignment horizontal="center" vertical="center" wrapText="1"/>
    </xf>
    <xf numFmtId="49" fontId="57" fillId="36" borderId="76" xfId="0" applyNumberFormat="1" applyFont="1" applyFill="1" applyBorder="1" applyAlignment="1">
      <alignment horizontal="left" vertical="center"/>
    </xf>
    <xf numFmtId="0" fontId="56" fillId="0" borderId="0" xfId="0" applyFont="1"/>
    <xf numFmtId="172" fontId="55" fillId="0" borderId="0" xfId="98" applyNumberFormat="1" applyFont="1" applyBorder="1" applyAlignment="1">
      <alignment vertical="top" wrapText="1" readingOrder="1"/>
    </xf>
    <xf numFmtId="3" fontId="56" fillId="0" borderId="22" xfId="0" applyNumberFormat="1" applyFont="1" applyBorder="1"/>
    <xf numFmtId="173" fontId="0" fillId="0" borderId="41" xfId="0" applyNumberFormat="1" applyBorder="1"/>
    <xf numFmtId="177" fontId="0" fillId="0" borderId="41" xfId="39" applyNumberFormat="1" applyFont="1" applyFill="1" applyBorder="1"/>
    <xf numFmtId="0" fontId="0" fillId="0" borderId="42" xfId="0" applyBorder="1" applyAlignment="1">
      <alignment horizontal="left"/>
    </xf>
    <xf numFmtId="172" fontId="43" fillId="0" borderId="21" xfId="98" applyNumberFormat="1" applyFont="1" applyBorder="1"/>
    <xf numFmtId="177" fontId="43" fillId="0" borderId="41" xfId="0" applyNumberFormat="1" applyFont="1" applyBorder="1"/>
    <xf numFmtId="170" fontId="43" fillId="0" borderId="24" xfId="0" applyNumberFormat="1" applyFont="1" applyBorder="1" applyAlignment="1">
      <alignment horizontal="center" vertical="center" wrapText="1"/>
    </xf>
    <xf numFmtId="3" fontId="43" fillId="0" borderId="0" xfId="0" applyNumberFormat="1" applyFont="1"/>
    <xf numFmtId="172" fontId="0" fillId="0" borderId="41" xfId="98" applyNumberFormat="1" applyFont="1" applyBorder="1"/>
    <xf numFmtId="1" fontId="0" fillId="0" borderId="41" xfId="0" applyNumberFormat="1" applyBorder="1"/>
    <xf numFmtId="3" fontId="0" fillId="0" borderId="22" xfId="39" applyNumberFormat="1" applyFont="1" applyBorder="1"/>
    <xf numFmtId="44" fontId="0" fillId="0" borderId="41" xfId="39" applyFont="1" applyBorder="1"/>
    <xf numFmtId="177" fontId="0" fillId="0" borderId="41" xfId="39" applyNumberFormat="1" applyFont="1" applyBorder="1"/>
    <xf numFmtId="44" fontId="0" fillId="0" borderId="77" xfId="39" applyFont="1" applyBorder="1"/>
    <xf numFmtId="177" fontId="43" fillId="0" borderId="41" xfId="39" applyNumberFormat="1" applyFont="1" applyBorder="1"/>
    <xf numFmtId="2" fontId="43" fillId="0" borderId="41" xfId="39" applyNumberFormat="1" applyFont="1" applyBorder="1"/>
    <xf numFmtId="0" fontId="58" fillId="0" borderId="0" xfId="0" applyFont="1"/>
    <xf numFmtId="0" fontId="43" fillId="32" borderId="0" xfId="0" applyFont="1" applyFill="1"/>
    <xf numFmtId="0" fontId="41" fillId="0" borderId="0" xfId="0" applyFont="1" applyAlignment="1">
      <alignment horizontal="center"/>
    </xf>
    <xf numFmtId="0" fontId="59" fillId="0" borderId="0" xfId="0" applyFont="1" applyAlignment="1">
      <alignment horizontal="right"/>
    </xf>
    <xf numFmtId="3" fontId="0" fillId="0" borderId="0" xfId="0" applyNumberFormat="1"/>
    <xf numFmtId="8" fontId="0" fillId="0" borderId="0" xfId="0" applyNumberFormat="1"/>
    <xf numFmtId="8" fontId="0" fillId="0" borderId="0" xfId="98" applyNumberFormat="1" applyFont="1"/>
    <xf numFmtId="177" fontId="0" fillId="0" borderId="0" xfId="39" applyNumberFormat="1" applyFont="1" applyBorder="1"/>
    <xf numFmtId="2" fontId="0" fillId="0" borderId="0" xfId="39" applyNumberFormat="1" applyFont="1" applyBorder="1"/>
    <xf numFmtId="8" fontId="43" fillId="0" borderId="0" xfId="0" applyNumberFormat="1" applyFont="1"/>
    <xf numFmtId="0" fontId="42" fillId="0" borderId="0" xfId="0" applyFont="1" applyAlignment="1">
      <alignment horizontal="right"/>
    </xf>
    <xf numFmtId="0" fontId="51" fillId="0" borderId="0" xfId="0" applyFont="1"/>
    <xf numFmtId="43" fontId="0" fillId="0" borderId="0" xfId="0" applyNumberFormat="1"/>
    <xf numFmtId="174" fontId="51" fillId="0" borderId="0" xfId="98" applyNumberFormat="1" applyFont="1"/>
    <xf numFmtId="169" fontId="51" fillId="0" borderId="0" xfId="0" applyNumberFormat="1" applyFont="1"/>
    <xf numFmtId="177" fontId="51" fillId="0" borderId="0" xfId="0" applyNumberFormat="1" applyFont="1"/>
    <xf numFmtId="2" fontId="51" fillId="0" borderId="0" xfId="0" applyNumberFormat="1" applyFont="1"/>
    <xf numFmtId="3" fontId="51" fillId="0" borderId="0" xfId="0" applyNumberFormat="1" applyFont="1"/>
    <xf numFmtId="175" fontId="0" fillId="0" borderId="0" xfId="98" applyNumberFormat="1" applyFont="1"/>
    <xf numFmtId="177" fontId="0" fillId="0" borderId="0" xfId="0" applyNumberFormat="1"/>
    <xf numFmtId="9" fontId="43" fillId="0" borderId="0" xfId="0" applyNumberFormat="1" applyFont="1"/>
    <xf numFmtId="9" fontId="43" fillId="0" borderId="0" xfId="86" applyFont="1" applyBorder="1"/>
    <xf numFmtId="177" fontId="0" fillId="0" borderId="9" xfId="39" applyNumberFormat="1" applyFont="1" applyBorder="1"/>
    <xf numFmtId="3" fontId="43" fillId="39" borderId="14" xfId="0" applyNumberFormat="1" applyFont="1" applyFill="1" applyBorder="1"/>
    <xf numFmtId="174" fontId="0" fillId="0" borderId="49" xfId="0" applyNumberFormat="1" applyBorder="1"/>
    <xf numFmtId="171" fontId="43" fillId="37" borderId="49" xfId="0" applyNumberFormat="1" applyFont="1" applyFill="1" applyBorder="1"/>
    <xf numFmtId="171" fontId="43" fillId="0" borderId="49" xfId="0" applyNumberFormat="1" applyFont="1" applyBorder="1"/>
    <xf numFmtId="177" fontId="43" fillId="0" borderId="49" xfId="0" applyNumberFormat="1" applyFont="1" applyBorder="1"/>
    <xf numFmtId="178" fontId="43" fillId="0" borderId="49" xfId="0" applyNumberFormat="1" applyFont="1" applyBorder="1"/>
    <xf numFmtId="172" fontId="0" fillId="0" borderId="43" xfId="98" applyNumberFormat="1" applyFont="1" applyBorder="1"/>
    <xf numFmtId="0" fontId="43" fillId="0" borderId="46" xfId="0" applyFont="1" applyBorder="1" applyAlignment="1">
      <alignment wrapText="1"/>
    </xf>
    <xf numFmtId="0" fontId="43" fillId="0" borderId="47" xfId="0" applyFont="1" applyBorder="1" applyAlignment="1">
      <alignment wrapText="1"/>
    </xf>
    <xf numFmtId="0" fontId="0" fillId="0" borderId="24" xfId="0" applyBorder="1" applyAlignment="1">
      <alignment vertical="center" wrapText="1"/>
    </xf>
    <xf numFmtId="0" fontId="43" fillId="0" borderId="24" xfId="0" applyFont="1" applyBorder="1" applyAlignment="1">
      <alignment horizontal="center" vertical="center" wrapText="1"/>
    </xf>
    <xf numFmtId="174" fontId="59" fillId="0" borderId="24" xfId="98" applyNumberFormat="1" applyFont="1" applyBorder="1" applyAlignment="1">
      <alignment horizontal="center" vertical="center" wrapText="1"/>
    </xf>
    <xf numFmtId="0" fontId="43" fillId="0" borderId="0" xfId="0" applyFont="1" applyAlignment="1">
      <alignment horizontal="center" vertical="center" wrapText="1"/>
    </xf>
    <xf numFmtId="43" fontId="43" fillId="0" borderId="0" xfId="98" applyFont="1" applyAlignment="1">
      <alignment wrapText="1"/>
    </xf>
    <xf numFmtId="169" fontId="43" fillId="0" borderId="41" xfId="39" applyNumberFormat="1" applyFont="1" applyBorder="1"/>
    <xf numFmtId="0" fontId="0" fillId="0" borderId="78" xfId="0" applyBorder="1"/>
    <xf numFmtId="3" fontId="43" fillId="39" borderId="24" xfId="0" applyNumberFormat="1" applyFont="1" applyFill="1" applyBorder="1"/>
    <xf numFmtId="0" fontId="43" fillId="0" borderId="50" xfId="0" applyFont="1" applyBorder="1"/>
    <xf numFmtId="3" fontId="43" fillId="0" borderId="51" xfId="0" applyNumberFormat="1" applyFont="1" applyBorder="1"/>
    <xf numFmtId="172" fontId="43" fillId="0" borderId="51" xfId="0" applyNumberFormat="1" applyFont="1" applyBorder="1"/>
    <xf numFmtId="0" fontId="43" fillId="0" borderId="37" xfId="0" applyFont="1" applyBorder="1" applyAlignment="1">
      <alignment horizontal="center" vertical="center" wrapText="1"/>
    </xf>
    <xf numFmtId="0" fontId="43" fillId="0" borderId="38" xfId="0" applyFont="1" applyBorder="1" applyAlignment="1">
      <alignment horizontal="center" vertical="center" wrapText="1"/>
    </xf>
    <xf numFmtId="0" fontId="0" fillId="0" borderId="50" xfId="0" applyBorder="1"/>
    <xf numFmtId="0" fontId="0" fillId="0" borderId="51" xfId="0" applyBorder="1"/>
    <xf numFmtId="171" fontId="43" fillId="0" borderId="80" xfId="0" applyNumberFormat="1" applyFont="1" applyBorder="1"/>
    <xf numFmtId="170" fontId="43" fillId="0" borderId="81" xfId="0" applyNumberFormat="1" applyFont="1" applyBorder="1"/>
    <xf numFmtId="169" fontId="43" fillId="0" borderId="81" xfId="0" applyNumberFormat="1" applyFont="1" applyBorder="1"/>
    <xf numFmtId="44" fontId="0" fillId="0" borderId="81" xfId="39" applyFont="1" applyBorder="1"/>
    <xf numFmtId="0" fontId="43" fillId="0" borderId="67" xfId="0" applyFont="1" applyBorder="1"/>
    <xf numFmtId="169" fontId="43" fillId="0" borderId="82" xfId="39" applyNumberFormat="1" applyFont="1" applyBorder="1"/>
    <xf numFmtId="173" fontId="0" fillId="38" borderId="21" xfId="0" applyNumberFormat="1" applyFill="1" applyBorder="1"/>
    <xf numFmtId="2" fontId="0" fillId="40" borderId="32" xfId="0" applyNumberFormat="1" applyFill="1" applyBorder="1" applyAlignment="1">
      <alignment horizontal="center"/>
    </xf>
    <xf numFmtId="0" fontId="0" fillId="0" borderId="83" xfId="0" applyBorder="1"/>
    <xf numFmtId="2" fontId="0" fillId="0" borderId="84" xfId="39" applyNumberFormat="1" applyFont="1" applyBorder="1"/>
    <xf numFmtId="0" fontId="0" fillId="0" borderId="85" xfId="0" applyBorder="1"/>
    <xf numFmtId="2" fontId="43" fillId="0" borderId="86" xfId="0" applyNumberFormat="1" applyFont="1" applyBorder="1"/>
    <xf numFmtId="2" fontId="43" fillId="0" borderId="38" xfId="39" applyNumberFormat="1" applyFont="1" applyBorder="1" applyAlignment="1">
      <alignment wrapText="1"/>
    </xf>
    <xf numFmtId="2" fontId="0" fillId="0" borderId="51" xfId="0" applyNumberFormat="1" applyBorder="1"/>
    <xf numFmtId="3" fontId="43" fillId="0" borderId="50" xfId="0" applyNumberFormat="1" applyFont="1" applyBorder="1"/>
    <xf numFmtId="2" fontId="43" fillId="0" borderId="81" xfId="0" applyNumberFormat="1" applyFont="1" applyBorder="1"/>
    <xf numFmtId="44" fontId="0" fillId="0" borderId="50" xfId="39" applyFont="1" applyBorder="1"/>
    <xf numFmtId="2" fontId="0" fillId="0" borderId="81" xfId="39" applyNumberFormat="1" applyFont="1" applyBorder="1"/>
    <xf numFmtId="3" fontId="43" fillId="0" borderId="87" xfId="39" applyNumberFormat="1" applyFont="1" applyBorder="1"/>
    <xf numFmtId="169" fontId="43" fillId="0" borderId="68" xfId="0" applyNumberFormat="1" applyFont="1" applyBorder="1"/>
    <xf numFmtId="3" fontId="43" fillId="0" borderId="88" xfId="39" applyNumberFormat="1" applyFont="1" applyBorder="1"/>
    <xf numFmtId="2" fontId="43" fillId="0" borderId="82" xfId="39" applyNumberFormat="1" applyFont="1" applyBorder="1"/>
    <xf numFmtId="174" fontId="0" fillId="0" borderId="0" xfId="98" applyNumberFormat="1" applyFont="1" applyBorder="1"/>
    <xf numFmtId="0" fontId="59" fillId="0" borderId="37" xfId="0" applyFont="1" applyBorder="1" applyAlignment="1">
      <alignment horizontal="center" vertical="center" wrapText="1"/>
    </xf>
    <xf numFmtId="178" fontId="56" fillId="0" borderId="80" xfId="0" applyNumberFormat="1" applyFont="1" applyBorder="1"/>
    <xf numFmtId="44" fontId="0" fillId="0" borderId="81" xfId="0" applyNumberFormat="1" applyBorder="1"/>
    <xf numFmtId="169" fontId="43" fillId="0" borderId="80" xfId="0" applyNumberFormat="1" applyFont="1" applyBorder="1"/>
    <xf numFmtId="44" fontId="0" fillId="0" borderId="80" xfId="39" applyFont="1" applyBorder="1"/>
    <xf numFmtId="169" fontId="43" fillId="0" borderId="89" xfId="39" applyNumberFormat="1" applyFont="1" applyBorder="1"/>
    <xf numFmtId="3" fontId="43" fillId="0" borderId="90" xfId="39" applyNumberFormat="1" applyFont="1" applyBorder="1"/>
    <xf numFmtId="0" fontId="0" fillId="0" borderId="17" xfId="0" applyBorder="1"/>
    <xf numFmtId="0" fontId="0" fillId="0" borderId="59" xfId="0" applyBorder="1"/>
    <xf numFmtId="0" fontId="43" fillId="0" borderId="17" xfId="0" applyFont="1" applyBorder="1" applyAlignment="1">
      <alignment wrapText="1"/>
    </xf>
    <xf numFmtId="172" fontId="43" fillId="0" borderId="9" xfId="98" applyNumberFormat="1" applyFont="1" applyBorder="1"/>
    <xf numFmtId="43" fontId="0" fillId="0" borderId="83" xfId="0" applyNumberFormat="1" applyBorder="1"/>
    <xf numFmtId="179" fontId="0" fillId="0" borderId="0" xfId="0" applyNumberFormat="1"/>
    <xf numFmtId="43" fontId="42" fillId="0" borderId="0" xfId="0" applyNumberFormat="1" applyFont="1"/>
    <xf numFmtId="3" fontId="43" fillId="39" borderId="51" xfId="0" applyNumberFormat="1" applyFont="1" applyFill="1" applyBorder="1"/>
    <xf numFmtId="174" fontId="0" fillId="0" borderId="85" xfId="0" applyNumberFormat="1" applyBorder="1"/>
    <xf numFmtId="44" fontId="0" fillId="0" borderId="51" xfId="98" applyNumberFormat="1" applyFont="1" applyBorder="1"/>
    <xf numFmtId="0" fontId="0" fillId="0" borderId="37" xfId="0" applyBorder="1" applyAlignment="1">
      <alignment vertical="center" wrapText="1"/>
    </xf>
    <xf numFmtId="0" fontId="43" fillId="0" borderId="58" xfId="0" applyFont="1" applyBorder="1" applyAlignment="1">
      <alignment horizontal="center" vertical="center" wrapText="1"/>
    </xf>
    <xf numFmtId="174" fontId="55" fillId="0" borderId="91" xfId="98" applyNumberFormat="1" applyFont="1" applyBorder="1" applyAlignment="1">
      <alignment vertical="top" wrapText="1" readingOrder="1"/>
    </xf>
    <xf numFmtId="170" fontId="0" fillId="0" borderId="84" xfId="0" applyNumberFormat="1" applyBorder="1" applyAlignment="1">
      <alignment horizontal="center" vertical="center" wrapText="1"/>
    </xf>
    <xf numFmtId="172" fontId="55" fillId="0" borderId="50" xfId="98" applyNumberFormat="1" applyFont="1" applyBorder="1" applyAlignment="1">
      <alignment vertical="top" wrapText="1" readingOrder="1"/>
    </xf>
    <xf numFmtId="172" fontId="43" fillId="0" borderId="53" xfId="98" applyNumberFormat="1" applyFont="1" applyBorder="1"/>
    <xf numFmtId="0" fontId="0" fillId="0" borderId="80" xfId="0" applyBorder="1"/>
    <xf numFmtId="3" fontId="43" fillId="0" borderId="89" xfId="0" applyNumberFormat="1" applyFont="1" applyBorder="1"/>
    <xf numFmtId="3" fontId="43" fillId="0" borderId="90" xfId="0" applyNumberFormat="1" applyFont="1" applyBorder="1"/>
    <xf numFmtId="169" fontId="43" fillId="0" borderId="90" xfId="39" applyNumberFormat="1" applyFont="1" applyBorder="1"/>
    <xf numFmtId="3" fontId="43" fillId="0" borderId="82" xfId="0" applyNumberFormat="1" applyFont="1" applyBorder="1"/>
    <xf numFmtId="0" fontId="41" fillId="35" borderId="0" xfId="0" applyFont="1" applyFill="1"/>
    <xf numFmtId="0" fontId="43" fillId="0" borderId="41" xfId="0" applyFont="1" applyBorder="1" applyAlignment="1">
      <alignment horizontal="center" vertical="center" wrapText="1"/>
    </xf>
    <xf numFmtId="171" fontId="43" fillId="35" borderId="19" xfId="0" applyNumberFormat="1" applyFont="1" applyFill="1" applyBorder="1"/>
    <xf numFmtId="174" fontId="59" fillId="0" borderId="23" xfId="98" applyNumberFormat="1" applyFont="1" applyBorder="1" applyAlignment="1">
      <alignment horizontal="center" vertical="center" wrapText="1"/>
    </xf>
    <xf numFmtId="177" fontId="43" fillId="0" borderId="23" xfId="39" applyNumberFormat="1" applyFont="1" applyBorder="1" applyAlignment="1">
      <alignment wrapText="1"/>
    </xf>
    <xf numFmtId="0" fontId="43" fillId="0" borderId="23" xfId="0" applyFont="1" applyBorder="1" applyAlignment="1">
      <alignment wrapText="1"/>
    </xf>
    <xf numFmtId="2" fontId="43" fillId="35" borderId="19" xfId="0" applyNumberFormat="1" applyFont="1" applyFill="1" applyBorder="1"/>
    <xf numFmtId="44" fontId="43" fillId="35" borderId="19" xfId="0" applyNumberFormat="1" applyFont="1" applyFill="1" applyBorder="1"/>
    <xf numFmtId="177" fontId="0" fillId="0" borderId="84" xfId="39" applyNumberFormat="1" applyFont="1" applyBorder="1"/>
    <xf numFmtId="172" fontId="0" fillId="0" borderId="0" xfId="98" applyNumberFormat="1" applyFont="1" applyBorder="1"/>
    <xf numFmtId="177" fontId="43" fillId="0" borderId="86" xfId="0" applyNumberFormat="1" applyFont="1" applyBorder="1"/>
    <xf numFmtId="0" fontId="43" fillId="0" borderId="37" xfId="0" applyFont="1" applyBorder="1" applyAlignment="1">
      <alignment wrapText="1"/>
    </xf>
    <xf numFmtId="177" fontId="43" fillId="0" borderId="38" xfId="39" applyNumberFormat="1" applyFont="1" applyBorder="1" applyAlignment="1">
      <alignment wrapText="1"/>
    </xf>
    <xf numFmtId="173" fontId="0" fillId="0" borderId="80" xfId="0" applyNumberFormat="1" applyBorder="1"/>
    <xf numFmtId="44" fontId="0" fillId="0" borderId="81" xfId="39" applyFont="1" applyFill="1" applyBorder="1"/>
    <xf numFmtId="177" fontId="0" fillId="0" borderId="81" xfId="39" applyNumberFormat="1" applyFont="1" applyFill="1" applyBorder="1"/>
    <xf numFmtId="177" fontId="43" fillId="0" borderId="81" xfId="0" applyNumberFormat="1" applyFont="1" applyBorder="1"/>
    <xf numFmtId="177" fontId="0" fillId="0" borderId="81" xfId="39" applyNumberFormat="1" applyFont="1" applyBorder="1"/>
    <xf numFmtId="169" fontId="43" fillId="0" borderId="92" xfId="39" applyNumberFormat="1" applyFont="1" applyBorder="1"/>
    <xf numFmtId="177" fontId="43" fillId="0" borderId="92" xfId="39" applyNumberFormat="1" applyFont="1" applyBorder="1"/>
    <xf numFmtId="169" fontId="43" fillId="0" borderId="88" xfId="39" applyNumberFormat="1" applyFont="1" applyBorder="1"/>
    <xf numFmtId="177" fontId="43" fillId="0" borderId="82" xfId="39" applyNumberFormat="1" applyFont="1" applyBorder="1"/>
    <xf numFmtId="9" fontId="0" fillId="38" borderId="19" xfId="0" applyNumberFormat="1" applyFill="1" applyBorder="1"/>
    <xf numFmtId="44" fontId="43" fillId="0" borderId="65" xfId="39" applyFont="1" applyBorder="1"/>
    <xf numFmtId="44" fontId="43" fillId="0" borderId="20" xfId="39" applyFont="1" applyFill="1" applyBorder="1"/>
    <xf numFmtId="170" fontId="43" fillId="0" borderId="19" xfId="39" applyNumberFormat="1" applyFont="1" applyBorder="1"/>
    <xf numFmtId="171" fontId="43" fillId="0" borderId="50" xfId="0" applyNumberFormat="1" applyFont="1" applyBorder="1"/>
    <xf numFmtId="171" fontId="0" fillId="0" borderId="0" xfId="0" applyNumberFormat="1"/>
    <xf numFmtId="170" fontId="0" fillId="0" borderId="0" xfId="0" applyNumberFormat="1" applyAlignment="1">
      <alignment horizontal="center" vertical="center" wrapText="1"/>
    </xf>
    <xf numFmtId="170" fontId="0" fillId="0" borderId="66" xfId="0" applyNumberFormat="1" applyBorder="1" applyAlignment="1">
      <alignment horizontal="center" vertical="center" wrapText="1"/>
    </xf>
    <xf numFmtId="170" fontId="0" fillId="0" borderId="20" xfId="0" applyNumberFormat="1" applyBorder="1" applyAlignment="1">
      <alignment horizontal="center" vertical="center" wrapText="1"/>
    </xf>
    <xf numFmtId="9" fontId="0" fillId="38" borderId="21" xfId="0" applyNumberFormat="1" applyFill="1" applyBorder="1"/>
    <xf numFmtId="3" fontId="43" fillId="39" borderId="0" xfId="0" applyNumberFormat="1" applyFont="1" applyFill="1"/>
    <xf numFmtId="171" fontId="0" fillId="0" borderId="41" xfId="0" applyNumberFormat="1" applyBorder="1"/>
    <xf numFmtId="175" fontId="56" fillId="0" borderId="50" xfId="98" applyNumberFormat="1" applyFont="1" applyFill="1" applyBorder="1"/>
    <xf numFmtId="0" fontId="56" fillId="0" borderId="50" xfId="0" applyFont="1" applyBorder="1"/>
    <xf numFmtId="10" fontId="0" fillId="38" borderId="21" xfId="0" applyNumberFormat="1" applyFill="1" applyBorder="1"/>
    <xf numFmtId="174" fontId="56" fillId="0" borderId="41" xfId="98" applyNumberFormat="1" applyFont="1" applyBorder="1"/>
    <xf numFmtId="44" fontId="0" fillId="0" borderId="51" xfId="0" applyNumberFormat="1" applyBorder="1"/>
    <xf numFmtId="170" fontId="0" fillId="0" borderId="0" xfId="0" applyNumberFormat="1"/>
    <xf numFmtId="44" fontId="0" fillId="0" borderId="51" xfId="39" applyFont="1" applyFill="1" applyBorder="1"/>
    <xf numFmtId="0" fontId="43" fillId="0" borderId="21" xfId="0" applyFont="1" applyBorder="1" applyAlignment="1">
      <alignment wrapText="1"/>
    </xf>
    <xf numFmtId="170" fontId="0" fillId="0" borderId="23" xfId="0" applyNumberFormat="1" applyBorder="1" applyAlignment="1">
      <alignment horizontal="center" vertical="center" wrapText="1"/>
    </xf>
    <xf numFmtId="0" fontId="0" fillId="0" borderId="34" xfId="0" applyBorder="1"/>
    <xf numFmtId="0" fontId="43" fillId="0" borderId="52" xfId="0" applyFont="1" applyBorder="1" applyAlignment="1">
      <alignment horizontal="left"/>
    </xf>
    <xf numFmtId="0" fontId="43" fillId="0" borderId="93" xfId="0" applyFont="1" applyBorder="1"/>
    <xf numFmtId="0" fontId="43" fillId="0" borderId="35" xfId="0" applyFont="1" applyBorder="1"/>
    <xf numFmtId="3" fontId="43" fillId="0" borderId="25" xfId="0" applyNumberFormat="1" applyFont="1" applyBorder="1"/>
    <xf numFmtId="3" fontId="43" fillId="0" borderId="26" xfId="0" applyNumberFormat="1" applyFont="1" applyBorder="1"/>
    <xf numFmtId="169" fontId="43" fillId="0" borderId="26" xfId="39" applyNumberFormat="1" applyFont="1" applyBorder="1"/>
    <xf numFmtId="3" fontId="43" fillId="0" borderId="30" xfId="0" applyNumberFormat="1" applyFont="1" applyBorder="1"/>
    <xf numFmtId="1" fontId="0" fillId="0" borderId="35" xfId="0" applyNumberFormat="1" applyBorder="1"/>
    <xf numFmtId="169" fontId="43" fillId="0" borderId="25" xfId="39" applyNumberFormat="1" applyFont="1" applyBorder="1"/>
    <xf numFmtId="3" fontId="43" fillId="0" borderId="26" xfId="39" applyNumberFormat="1" applyFont="1" applyBorder="1"/>
    <xf numFmtId="169" fontId="43" fillId="0" borderId="30" xfId="39" applyNumberFormat="1" applyFont="1" applyBorder="1"/>
    <xf numFmtId="44" fontId="43" fillId="0" borderId="35" xfId="39" applyFont="1" applyBorder="1"/>
    <xf numFmtId="177" fontId="43" fillId="0" borderId="52" xfId="39" applyNumberFormat="1" applyFont="1" applyBorder="1"/>
    <xf numFmtId="169" fontId="43" fillId="0" borderId="94" xfId="39" applyNumberFormat="1" applyFont="1" applyBorder="1"/>
    <xf numFmtId="177" fontId="43" fillId="0" borderId="30" xfId="39" applyNumberFormat="1" applyFont="1" applyBorder="1"/>
    <xf numFmtId="169" fontId="43" fillId="0" borderId="35" xfId="0" applyNumberFormat="1" applyFont="1" applyBorder="1"/>
    <xf numFmtId="3" fontId="43" fillId="0" borderId="95" xfId="39" applyNumberFormat="1" applyFont="1" applyBorder="1"/>
    <xf numFmtId="3" fontId="43" fillId="0" borderId="94" xfId="39" applyNumberFormat="1" applyFont="1" applyBorder="1"/>
    <xf numFmtId="2" fontId="43" fillId="0" borderId="30" xfId="39" applyNumberFormat="1" applyFont="1" applyBorder="1"/>
    <xf numFmtId="0" fontId="43" fillId="0" borderId="34" xfId="0" applyFont="1" applyBorder="1"/>
    <xf numFmtId="0" fontId="0" fillId="0" borderId="35" xfId="0" applyBorder="1"/>
    <xf numFmtId="0" fontId="0" fillId="0" borderId="52" xfId="0" applyBorder="1"/>
    <xf numFmtId="43" fontId="43" fillId="0" borderId="30" xfId="98" applyFont="1" applyBorder="1"/>
    <xf numFmtId="172" fontId="0" fillId="35" borderId="0" xfId="98" applyNumberFormat="1" applyFont="1" applyFill="1"/>
    <xf numFmtId="172" fontId="43" fillId="35" borderId="19" xfId="98" applyNumberFormat="1" applyFont="1" applyFill="1" applyBorder="1"/>
    <xf numFmtId="2" fontId="0" fillId="0" borderId="51" xfId="39" applyNumberFormat="1" applyFont="1" applyFill="1" applyBorder="1"/>
    <xf numFmtId="2" fontId="43" fillId="0" borderId="0" xfId="0" applyNumberFormat="1" applyFont="1"/>
    <xf numFmtId="38" fontId="0" fillId="0" borderId="0" xfId="0" applyNumberFormat="1"/>
    <xf numFmtId="3" fontId="0" fillId="0" borderId="50" xfId="0" applyNumberFormat="1" applyBorder="1"/>
    <xf numFmtId="2" fontId="43" fillId="0" borderId="51" xfId="0" applyNumberFormat="1" applyFont="1" applyBorder="1"/>
    <xf numFmtId="0" fontId="43" fillId="0" borderId="53" xfId="0" applyFont="1" applyBorder="1" applyAlignment="1">
      <alignment horizontal="center" vertical="center" wrapText="1"/>
    </xf>
    <xf numFmtId="44" fontId="0" fillId="0" borderId="67" xfId="39" applyFont="1" applyBorder="1"/>
    <xf numFmtId="44" fontId="0" fillId="0" borderId="68" xfId="39" applyFont="1" applyBorder="1"/>
    <xf numFmtId="2" fontId="0" fillId="0" borderId="82" xfId="39" applyNumberFormat="1" applyFont="1" applyBorder="1"/>
    <xf numFmtId="0" fontId="43" fillId="0" borderId="53" xfId="0" applyFont="1" applyBorder="1" applyAlignment="1">
      <alignment wrapText="1"/>
    </xf>
    <xf numFmtId="177" fontId="43" fillId="0" borderId="21" xfId="39" applyNumberFormat="1" applyFont="1" applyBorder="1" applyAlignment="1">
      <alignment wrapText="1"/>
    </xf>
    <xf numFmtId="176" fontId="0" fillId="0" borderId="0" xfId="0" applyNumberFormat="1"/>
    <xf numFmtId="177" fontId="0" fillId="0" borderId="0" xfId="39" applyNumberFormat="1" applyFont="1" applyFill="1" applyBorder="1"/>
    <xf numFmtId="173" fontId="0" fillId="0" borderId="50" xfId="86" applyNumberFormat="1" applyFont="1" applyBorder="1"/>
    <xf numFmtId="44" fontId="0" fillId="0" borderId="89" xfId="39" applyFont="1" applyBorder="1"/>
    <xf numFmtId="44" fontId="0" fillId="0" borderId="92" xfId="39" applyFont="1" applyBorder="1"/>
    <xf numFmtId="177" fontId="0" fillId="0" borderId="92" xfId="39" applyNumberFormat="1" applyFont="1" applyBorder="1"/>
    <xf numFmtId="44" fontId="0" fillId="0" borderId="88" xfId="39" applyFont="1" applyBorder="1"/>
    <xf numFmtId="177" fontId="0" fillId="0" borderId="82" xfId="39" applyNumberFormat="1" applyFont="1" applyBorder="1"/>
    <xf numFmtId="44" fontId="0" fillId="0" borderId="47" xfId="39" applyFont="1" applyBorder="1"/>
    <xf numFmtId="44" fontId="0" fillId="0" borderId="63" xfId="39" applyFont="1" applyBorder="1"/>
    <xf numFmtId="42" fontId="0" fillId="0" borderId="0" xfId="0" applyNumberFormat="1"/>
    <xf numFmtId="44" fontId="0" fillId="0" borderId="62" xfId="39" applyFont="1" applyBorder="1"/>
    <xf numFmtId="170" fontId="0" fillId="0" borderId="47" xfId="39" applyNumberFormat="1" applyFont="1" applyBorder="1"/>
    <xf numFmtId="44" fontId="0" fillId="0" borderId="47" xfId="39" applyFont="1" applyFill="1" applyBorder="1"/>
    <xf numFmtId="42" fontId="0" fillId="0" borderId="33" xfId="0" applyNumberFormat="1" applyBorder="1"/>
    <xf numFmtId="42" fontId="0" fillId="0" borderId="50" xfId="0" applyNumberFormat="1" applyBorder="1"/>
    <xf numFmtId="42" fontId="0" fillId="0" borderId="67" xfId="0" applyNumberFormat="1" applyBorder="1"/>
    <xf numFmtId="42" fontId="0" fillId="0" borderId="0" xfId="39" applyNumberFormat="1" applyFont="1" applyBorder="1"/>
    <xf numFmtId="42" fontId="0" fillId="0" borderId="68" xfId="39" applyNumberFormat="1" applyFont="1" applyBorder="1"/>
    <xf numFmtId="43" fontId="43" fillId="0" borderId="14" xfId="98" applyFont="1" applyBorder="1"/>
    <xf numFmtId="43" fontId="0" fillId="0" borderId="14" xfId="98" applyFont="1" applyBorder="1"/>
    <xf numFmtId="44" fontId="43" fillId="0" borderId="66" xfId="39" applyFont="1" applyBorder="1" applyAlignment="1">
      <alignment horizontal="center" vertical="center" wrapText="1"/>
    </xf>
    <xf numFmtId="44" fontId="43" fillId="0" borderId="66" xfId="39" applyFont="1" applyBorder="1"/>
    <xf numFmtId="169" fontId="43" fillId="0" borderId="66" xfId="0" applyNumberFormat="1" applyFont="1" applyBorder="1"/>
    <xf numFmtId="0" fontId="0" fillId="0" borderId="20" xfId="0" applyBorder="1"/>
    <xf numFmtId="0" fontId="1" fillId="0" borderId="46" xfId="1" applyBorder="1"/>
    <xf numFmtId="0" fontId="4" fillId="28" borderId="28" xfId="0" applyFont="1" applyFill="1" applyBorder="1" applyAlignment="1">
      <alignment horizontal="center" vertical="center" wrapText="1"/>
    </xf>
    <xf numFmtId="44" fontId="0" fillId="0" borderId="31" xfId="0" applyNumberFormat="1" applyBorder="1" applyAlignment="1">
      <alignment horizontal="center" vertical="center"/>
    </xf>
    <xf numFmtId="44" fontId="0" fillId="0" borderId="68" xfId="0" applyNumberFormat="1" applyBorder="1" applyAlignment="1">
      <alignment horizontal="center" vertical="center"/>
    </xf>
    <xf numFmtId="0" fontId="4" fillId="35" borderId="28" xfId="0" applyFont="1" applyFill="1" applyBorder="1" applyAlignment="1">
      <alignment wrapText="1"/>
    </xf>
    <xf numFmtId="0" fontId="4" fillId="35" borderId="29" xfId="0" applyFont="1" applyFill="1" applyBorder="1" applyAlignment="1">
      <alignment wrapText="1"/>
    </xf>
    <xf numFmtId="5" fontId="4" fillId="35" borderId="30" xfId="98" applyNumberFormat="1" applyFont="1" applyFill="1" applyBorder="1" applyAlignment="1">
      <alignment horizontal="center" vertical="center" wrapText="1"/>
    </xf>
    <xf numFmtId="5" fontId="4" fillId="35" borderId="29" xfId="98" applyNumberFormat="1" applyFont="1" applyFill="1" applyBorder="1" applyAlignment="1">
      <alignment horizontal="center" vertical="center"/>
    </xf>
    <xf numFmtId="0" fontId="1" fillId="0" borderId="38" xfId="0" applyFont="1" applyBorder="1" applyAlignment="1">
      <alignment vertical="top" wrapText="1"/>
    </xf>
    <xf numFmtId="0" fontId="4" fillId="0" borderId="40" xfId="0" applyFont="1" applyBorder="1" applyAlignment="1">
      <alignment vertical="top" wrapText="1"/>
    </xf>
    <xf numFmtId="166" fontId="1" fillId="0" borderId="19" xfId="39" applyNumberFormat="1" applyFill="1" applyBorder="1"/>
    <xf numFmtId="7" fontId="1" fillId="26" borderId="19" xfId="39" applyNumberFormat="1" applyFill="1" applyBorder="1"/>
    <xf numFmtId="44" fontId="0" fillId="0" borderId="62" xfId="0" applyNumberFormat="1" applyBorder="1"/>
    <xf numFmtId="44" fontId="0" fillId="0" borderId="47" xfId="0" applyNumberFormat="1" applyBorder="1"/>
    <xf numFmtId="44" fontId="0" fillId="0" borderId="63" xfId="0" applyNumberFormat="1" applyBorder="1"/>
    <xf numFmtId="44" fontId="0" fillId="0" borderId="65" xfId="0" applyNumberFormat="1" applyBorder="1"/>
    <xf numFmtId="44" fontId="0" fillId="0" borderId="66" xfId="0" applyNumberFormat="1" applyBorder="1"/>
    <xf numFmtId="44" fontId="0" fillId="0" borderId="20" xfId="0" applyNumberFormat="1" applyBorder="1"/>
    <xf numFmtId="44" fontId="0" fillId="42" borderId="0" xfId="0" applyNumberFormat="1" applyFill="1"/>
    <xf numFmtId="172" fontId="0" fillId="42" borderId="0" xfId="98" applyNumberFormat="1" applyFont="1" applyFill="1"/>
    <xf numFmtId="42" fontId="0" fillId="0" borderId="0" xfId="0" applyNumberFormat="1" applyAlignment="1">
      <alignment horizontal="center" vertical="center"/>
    </xf>
    <xf numFmtId="178" fontId="56" fillId="0" borderId="22" xfId="0" applyNumberFormat="1" applyFont="1" applyBorder="1"/>
    <xf numFmtId="172" fontId="0" fillId="0" borderId="0" xfId="0" applyNumberFormat="1"/>
    <xf numFmtId="44" fontId="0" fillId="0" borderId="64" xfId="0" applyNumberFormat="1" applyBorder="1"/>
    <xf numFmtId="0" fontId="0" fillId="31" borderId="0" xfId="0" applyFill="1"/>
    <xf numFmtId="44" fontId="0" fillId="0" borderId="46" xfId="0" applyNumberFormat="1" applyBorder="1"/>
    <xf numFmtId="44" fontId="0" fillId="0" borderId="96" xfId="0" applyNumberFormat="1" applyBorder="1"/>
    <xf numFmtId="44" fontId="0" fillId="0" borderId="31" xfId="0" applyNumberFormat="1" applyBorder="1"/>
    <xf numFmtId="44" fontId="0" fillId="0" borderId="68" xfId="0" applyNumberFormat="1" applyBorder="1"/>
    <xf numFmtId="44" fontId="0" fillId="0" borderId="97" xfId="0" applyNumberFormat="1" applyBorder="1"/>
    <xf numFmtId="6" fontId="0" fillId="0" borderId="97" xfId="0" applyNumberFormat="1" applyBorder="1"/>
    <xf numFmtId="0" fontId="60" fillId="0" borderId="45" xfId="0" applyFont="1" applyBorder="1" applyAlignment="1">
      <alignment vertical="top" wrapText="1"/>
    </xf>
    <xf numFmtId="0" fontId="4" fillId="30" borderId="96" xfId="0" applyFont="1" applyFill="1" applyBorder="1" applyAlignment="1">
      <alignment wrapText="1"/>
    </xf>
    <xf numFmtId="44" fontId="0" fillId="0" borderId="60" xfId="39" applyFont="1" applyBorder="1"/>
    <xf numFmtId="44" fontId="0" fillId="0" borderId="46" xfId="39" applyFont="1" applyBorder="1"/>
    <xf numFmtId="170" fontId="0" fillId="0" borderId="46" xfId="39" applyNumberFormat="1" applyFont="1" applyBorder="1"/>
    <xf numFmtId="44" fontId="0" fillId="0" borderId="61" xfId="39" applyFont="1" applyBorder="1"/>
    <xf numFmtId="0" fontId="4" fillId="30" borderId="32" xfId="0" applyFont="1" applyFill="1" applyBorder="1" applyAlignment="1">
      <alignment wrapText="1"/>
    </xf>
    <xf numFmtId="0" fontId="4" fillId="30" borderId="19" xfId="0" applyFont="1" applyFill="1" applyBorder="1" applyAlignment="1">
      <alignment wrapText="1"/>
    </xf>
    <xf numFmtId="44" fontId="0" fillId="0" borderId="33" xfId="0" applyNumberFormat="1" applyBorder="1"/>
    <xf numFmtId="44" fontId="0" fillId="0" borderId="50" xfId="0" applyNumberFormat="1" applyBorder="1"/>
    <xf numFmtId="44" fontId="0" fillId="0" borderId="67" xfId="0" applyNumberFormat="1" applyBorder="1"/>
    <xf numFmtId="44" fontId="4" fillId="0" borderId="19" xfId="39" applyFont="1" applyBorder="1"/>
    <xf numFmtId="0" fontId="0" fillId="30" borderId="0" xfId="0" applyFill="1"/>
    <xf numFmtId="44" fontId="4" fillId="27" borderId="33" xfId="39" applyFont="1" applyFill="1" applyBorder="1" applyAlignment="1">
      <alignment horizontal="center" vertical="center"/>
    </xf>
    <xf numFmtId="44" fontId="4" fillId="27" borderId="31" xfId="39" applyFont="1" applyFill="1" applyBorder="1" applyAlignment="1">
      <alignment horizontal="center" vertical="center"/>
    </xf>
    <xf numFmtId="44" fontId="4" fillId="0" borderId="33" xfId="39" applyFont="1" applyFill="1" applyBorder="1" applyAlignment="1">
      <alignment horizontal="center"/>
    </xf>
    <xf numFmtId="44" fontId="4" fillId="0" borderId="31" xfId="39" applyFont="1" applyFill="1" applyBorder="1" applyAlignment="1">
      <alignment horizontal="center"/>
    </xf>
    <xf numFmtId="44" fontId="4" fillId="0" borderId="32" xfId="39" applyFont="1" applyFill="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0" fillId="40" borderId="79" xfId="0" applyFill="1" applyBorder="1" applyAlignment="1">
      <alignment horizontal="center"/>
    </xf>
    <xf numFmtId="0" fontId="0" fillId="40" borderId="70" xfId="0" applyFill="1" applyBorder="1" applyAlignment="1">
      <alignment horizontal="center"/>
    </xf>
    <xf numFmtId="0" fontId="0" fillId="40" borderId="62" xfId="0" applyFill="1" applyBorder="1" applyAlignment="1">
      <alignment horizontal="center"/>
    </xf>
    <xf numFmtId="0" fontId="43" fillId="41" borderId="79" xfId="0" applyFont="1" applyFill="1" applyBorder="1" applyAlignment="1">
      <alignment horizontal="center" wrapText="1"/>
    </xf>
    <xf numFmtId="0" fontId="0" fillId="41" borderId="72" xfId="0" applyFill="1" applyBorder="1" applyAlignment="1">
      <alignment horizontal="center" wrapText="1"/>
    </xf>
    <xf numFmtId="0" fontId="0" fillId="39" borderId="79" xfId="0" applyFill="1" applyBorder="1" applyAlignment="1">
      <alignment horizontal="center"/>
    </xf>
    <xf numFmtId="0" fontId="0" fillId="39" borderId="70" xfId="0" applyFill="1" applyBorder="1" applyAlignment="1">
      <alignment horizontal="center"/>
    </xf>
    <xf numFmtId="0" fontId="0" fillId="39" borderId="62" xfId="0" applyFill="1" applyBorder="1" applyAlignment="1">
      <alignment horizontal="center"/>
    </xf>
    <xf numFmtId="44" fontId="0" fillId="30" borderId="60" xfId="39" applyFont="1" applyFill="1" applyBorder="1" applyAlignment="1">
      <alignment horizontal="center"/>
    </xf>
    <xf numFmtId="44" fontId="0" fillId="30" borderId="72" xfId="39" applyFont="1" applyFill="1" applyBorder="1" applyAlignment="1">
      <alignment horizontal="center"/>
    </xf>
    <xf numFmtId="0" fontId="0" fillId="32" borderId="79" xfId="0" applyFill="1" applyBorder="1" applyAlignment="1">
      <alignment horizontal="center"/>
    </xf>
    <xf numFmtId="0" fontId="0" fillId="32" borderId="70" xfId="0" applyFill="1" applyBorder="1" applyAlignment="1">
      <alignment horizontal="center"/>
    </xf>
    <xf numFmtId="0" fontId="0" fillId="32" borderId="72" xfId="0" applyFill="1" applyBorder="1" applyAlignment="1">
      <alignment horizontal="center"/>
    </xf>
    <xf numFmtId="0" fontId="0" fillId="33" borderId="79" xfId="0" applyFill="1" applyBorder="1" applyAlignment="1">
      <alignment horizontal="center"/>
    </xf>
    <xf numFmtId="0" fontId="0" fillId="33" borderId="70" xfId="0" applyFill="1" applyBorder="1" applyAlignment="1">
      <alignment horizontal="center"/>
    </xf>
    <xf numFmtId="0" fontId="0" fillId="33" borderId="72" xfId="0" applyFill="1" applyBorder="1" applyAlignment="1">
      <alignment horizontal="center"/>
    </xf>
    <xf numFmtId="0" fontId="4" fillId="0" borderId="54" xfId="0" applyFont="1" applyBorder="1" applyAlignment="1">
      <alignment horizontal="center"/>
    </xf>
  </cellXfs>
  <cellStyles count="99">
    <cellStyle name="%" xfId="1" xr:uid="{00000000-0005-0000-0000-000000000000}"/>
    <cellStyle name="]_x000d__x000a_Zoomed=1_x000d__x000a_Row=0_x000d__x000a_Column=0_x000d__x000a_Height=0_x000d__x000a_Width=0_x000d__x000a_FontName=FoxFont_x000d__x000a_FontStyle=0_x000d__x000a_FontSize=9_x000d__x000a_PrtFontName=FoxPrin"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Comma" xfId="98" builtinId="3"/>
    <cellStyle name="Comma 2" xfId="30" xr:uid="{00000000-0005-0000-0000-00001D000000}"/>
    <cellStyle name="Comma 2 2" xfId="31" xr:uid="{00000000-0005-0000-0000-00001E000000}"/>
    <cellStyle name="Comma 3" xfId="32" xr:uid="{00000000-0005-0000-0000-00001F000000}"/>
    <cellStyle name="Comma 3 2" xfId="33" xr:uid="{00000000-0005-0000-0000-000020000000}"/>
    <cellStyle name="Comma 4" xfId="34" xr:uid="{00000000-0005-0000-0000-000021000000}"/>
    <cellStyle name="Comma 5" xfId="35" xr:uid="{00000000-0005-0000-0000-000022000000}"/>
    <cellStyle name="Comma0" xfId="36" xr:uid="{00000000-0005-0000-0000-000023000000}"/>
    <cellStyle name="Contents" xfId="37" xr:uid="{00000000-0005-0000-0000-000024000000}"/>
    <cellStyle name="CURR" xfId="38" xr:uid="{00000000-0005-0000-0000-000025000000}"/>
    <cellStyle name="Currency" xfId="39" builtinId="4"/>
    <cellStyle name="Currency 2" xfId="40" xr:uid="{00000000-0005-0000-0000-000027000000}"/>
    <cellStyle name="Currency 2 2" xfId="41" xr:uid="{00000000-0005-0000-0000-000028000000}"/>
    <cellStyle name="Currency 3" xfId="42" xr:uid="{00000000-0005-0000-0000-000029000000}"/>
    <cellStyle name="Currency 3 2" xfId="43" xr:uid="{00000000-0005-0000-0000-00002A000000}"/>
    <cellStyle name="Currency 4" xfId="44" xr:uid="{00000000-0005-0000-0000-00002B000000}"/>
    <cellStyle name="Currency 5" xfId="45" xr:uid="{00000000-0005-0000-0000-00002C000000}"/>
    <cellStyle name="Currency0" xfId="46" xr:uid="{00000000-0005-0000-0000-00002D000000}"/>
    <cellStyle name="Date" xfId="47" xr:uid="{00000000-0005-0000-0000-00002E000000}"/>
    <cellStyle name="Explanatory Text" xfId="48" builtinId="53" customBuiltin="1"/>
    <cellStyle name="Fixed" xfId="49" xr:uid="{00000000-0005-0000-0000-000030000000}"/>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EAName" xfId="56" xr:uid="{00000000-0005-0000-0000-000037000000}"/>
    <cellStyle name="Linked Cell" xfId="57" builtinId="24" customBuiltin="1"/>
    <cellStyle name="Neutral" xfId="58" builtinId="28" customBuiltin="1"/>
    <cellStyle name="Normal" xfId="0" builtinId="0"/>
    <cellStyle name="Normal 2" xfId="59" xr:uid="{00000000-0005-0000-0000-00003B000000}"/>
    <cellStyle name="Normal 2 2" xfId="60" xr:uid="{00000000-0005-0000-0000-00003C000000}"/>
    <cellStyle name="Normal 2 3" xfId="61" xr:uid="{00000000-0005-0000-0000-00003D000000}"/>
    <cellStyle name="Normal 2 4" xfId="62" xr:uid="{00000000-0005-0000-0000-00003E000000}"/>
    <cellStyle name="Normal 2 5" xfId="63" xr:uid="{00000000-0005-0000-0000-00003F000000}"/>
    <cellStyle name="Normal 3" xfId="64" xr:uid="{00000000-0005-0000-0000-000040000000}"/>
    <cellStyle name="Normal 3 2" xfId="65" xr:uid="{00000000-0005-0000-0000-000041000000}"/>
    <cellStyle name="Normal 3 3" xfId="66" xr:uid="{00000000-0005-0000-0000-000042000000}"/>
    <cellStyle name="Normal 4" xfId="67" xr:uid="{00000000-0005-0000-0000-000043000000}"/>
    <cellStyle name="Normal 4 2" xfId="68" xr:uid="{00000000-0005-0000-0000-000044000000}"/>
    <cellStyle name="Normal 5" xfId="69" xr:uid="{00000000-0005-0000-0000-000045000000}"/>
    <cellStyle name="Normal 6" xfId="70" xr:uid="{00000000-0005-0000-0000-000046000000}"/>
    <cellStyle name="Normal 7" xfId="71" xr:uid="{00000000-0005-0000-0000-000047000000}"/>
    <cellStyle name="Normaltext" xfId="72" xr:uid="{00000000-0005-0000-0000-000048000000}"/>
    <cellStyle name="Normgrndtot" xfId="73" xr:uid="{00000000-0005-0000-0000-000049000000}"/>
    <cellStyle name="Normsubtotal" xfId="74" xr:uid="{00000000-0005-0000-0000-00004A000000}"/>
    <cellStyle name="Normtextbold" xfId="75" xr:uid="{00000000-0005-0000-0000-00004B000000}"/>
    <cellStyle name="Normtinteger" xfId="76" xr:uid="{00000000-0005-0000-0000-00004C000000}"/>
    <cellStyle name="Normtotal" xfId="77" xr:uid="{00000000-0005-0000-0000-00004D000000}"/>
    <cellStyle name="Note" xfId="78" builtinId="10" customBuiltin="1"/>
    <cellStyle name="Number" xfId="79" xr:uid="{00000000-0005-0000-0000-00004F000000}"/>
    <cellStyle name="Output" xfId="80" builtinId="21" customBuiltin="1"/>
    <cellStyle name="Output Amounts" xfId="81" xr:uid="{00000000-0005-0000-0000-000051000000}"/>
    <cellStyle name="Output Column Headings" xfId="82" xr:uid="{00000000-0005-0000-0000-000052000000}"/>
    <cellStyle name="Output Line Items" xfId="83" xr:uid="{00000000-0005-0000-0000-000053000000}"/>
    <cellStyle name="Output Report Heading" xfId="84" xr:uid="{00000000-0005-0000-0000-000054000000}"/>
    <cellStyle name="Output Report Title" xfId="85" xr:uid="{00000000-0005-0000-0000-000055000000}"/>
    <cellStyle name="Per cent" xfId="86" builtinId="5"/>
    <cellStyle name="Percent 2" xfId="87" xr:uid="{00000000-0005-0000-0000-000057000000}"/>
    <cellStyle name="Percent 2 2" xfId="88" xr:uid="{00000000-0005-0000-0000-000058000000}"/>
    <cellStyle name="sdso" xfId="89" xr:uid="{00000000-0005-0000-0000-000059000000}"/>
    <cellStyle name="Shadgrndtot" xfId="90" xr:uid="{00000000-0005-0000-0000-00005A000000}"/>
    <cellStyle name="Shadinteger" xfId="91" xr:uid="{00000000-0005-0000-0000-00005B000000}"/>
    <cellStyle name="Shadsubtotal" xfId="92" xr:uid="{00000000-0005-0000-0000-00005C000000}"/>
    <cellStyle name="Shadtext" xfId="93" xr:uid="{00000000-0005-0000-0000-00005D000000}"/>
    <cellStyle name="Shadtotal" xfId="94" xr:uid="{00000000-0005-0000-0000-00005E000000}"/>
    <cellStyle name="Title" xfId="95" builtinId="15" customBuiltin="1"/>
    <cellStyle name="Total" xfId="96" builtinId="25" customBuiltin="1"/>
    <cellStyle name="Warning Text" xfId="97" builtinId="11" customBuiltin="1"/>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10"/>
  </sheetPr>
  <dimension ref="B1:G31"/>
  <sheetViews>
    <sheetView zoomScaleNormal="100" workbookViewId="0">
      <selection activeCell="C29" sqref="C29"/>
    </sheetView>
  </sheetViews>
  <sheetFormatPr defaultColWidth="9.26953125" defaultRowHeight="13" x14ac:dyDescent="0.25"/>
  <cols>
    <col min="1" max="1" width="2.7265625" style="48" customWidth="1"/>
    <col min="2" max="2" width="18.453125" style="49" customWidth="1"/>
    <col min="3" max="3" width="104" style="48" customWidth="1"/>
    <col min="4" max="16384" width="9.26953125" style="48"/>
  </cols>
  <sheetData>
    <row r="1" spans="2:7" ht="15.5" x14ac:dyDescent="0.25">
      <c r="B1" s="57" t="s">
        <v>0</v>
      </c>
    </row>
    <row r="2" spans="2:7" ht="13.5" thickBot="1" x14ac:dyDescent="0.3"/>
    <row r="3" spans="2:7" ht="13.5" thickBot="1" x14ac:dyDescent="0.3">
      <c r="B3" s="96" t="s">
        <v>1</v>
      </c>
      <c r="C3" s="98"/>
    </row>
    <row r="4" spans="2:7" ht="126" x14ac:dyDescent="0.25">
      <c r="B4" s="66"/>
      <c r="C4" s="562" t="s">
        <v>2</v>
      </c>
      <c r="G4" s="91"/>
    </row>
    <row r="5" spans="2:7" ht="90" customHeight="1" x14ac:dyDescent="0.25">
      <c r="B5" s="50"/>
      <c r="C5" s="51" t="s">
        <v>3</v>
      </c>
      <c r="G5" s="91"/>
    </row>
    <row r="6" spans="2:7" ht="28.5" customHeight="1" x14ac:dyDescent="0.25">
      <c r="B6" s="50">
        <v>1</v>
      </c>
      <c r="C6" s="51" t="s">
        <v>4</v>
      </c>
      <c r="G6" s="91"/>
    </row>
    <row r="7" spans="2:7" ht="32.15" customHeight="1" x14ac:dyDescent="0.25">
      <c r="B7" s="50">
        <v>2</v>
      </c>
      <c r="C7" s="51" t="s">
        <v>5</v>
      </c>
    </row>
    <row r="8" spans="2:7" ht="34.5" customHeight="1" x14ac:dyDescent="0.25">
      <c r="B8" s="50">
        <v>3</v>
      </c>
      <c r="C8" s="51" t="s">
        <v>6</v>
      </c>
    </row>
    <row r="9" spans="2:7" ht="42" customHeight="1" x14ac:dyDescent="0.25">
      <c r="B9" s="50">
        <v>4</v>
      </c>
      <c r="C9" s="51" t="s">
        <v>7</v>
      </c>
    </row>
    <row r="10" spans="2:7" ht="38" x14ac:dyDescent="0.25">
      <c r="B10" s="50">
        <v>5</v>
      </c>
      <c r="C10" s="51" t="s">
        <v>8</v>
      </c>
    </row>
    <row r="11" spans="2:7" ht="41.15" customHeight="1" x14ac:dyDescent="0.25">
      <c r="B11" s="50">
        <v>6</v>
      </c>
      <c r="C11" s="51" t="s">
        <v>9</v>
      </c>
    </row>
    <row r="12" spans="2:7" ht="71.650000000000006" customHeight="1" x14ac:dyDescent="0.25">
      <c r="B12" s="50">
        <v>7</v>
      </c>
      <c r="C12" s="51" t="s">
        <v>10</v>
      </c>
    </row>
    <row r="13" spans="2:7" ht="43.5" customHeight="1" x14ac:dyDescent="0.25">
      <c r="B13" s="50">
        <v>8</v>
      </c>
      <c r="C13" s="51" t="s">
        <v>11</v>
      </c>
    </row>
    <row r="14" spans="2:7" ht="88" x14ac:dyDescent="0.25">
      <c r="B14" s="50">
        <v>9</v>
      </c>
      <c r="C14" s="51" t="s">
        <v>12</v>
      </c>
    </row>
    <row r="15" spans="2:7" ht="58.15" customHeight="1" x14ac:dyDescent="0.25">
      <c r="B15" s="106">
        <v>10</v>
      </c>
      <c r="C15" s="51" t="s">
        <v>13</v>
      </c>
    </row>
    <row r="16" spans="2:7" ht="51" thickBot="1" x14ac:dyDescent="0.3">
      <c r="B16" s="52">
        <v>11</v>
      </c>
      <c r="C16" s="208" t="s">
        <v>14</v>
      </c>
    </row>
    <row r="17" spans="2:5" ht="13.5" thickBot="1" x14ac:dyDescent="0.3">
      <c r="B17" s="85"/>
      <c r="C17" s="86"/>
    </row>
    <row r="18" spans="2:5" ht="13.5" thickBot="1" x14ac:dyDescent="0.3">
      <c r="B18" s="96" t="s">
        <v>15</v>
      </c>
      <c r="C18" s="97"/>
    </row>
    <row r="19" spans="2:5" ht="126.5" x14ac:dyDescent="0.25">
      <c r="B19" s="66">
        <v>12</v>
      </c>
      <c r="C19" s="92" t="s">
        <v>16</v>
      </c>
      <c r="E19" s="91"/>
    </row>
    <row r="20" spans="2:5" ht="65.25" customHeight="1" x14ac:dyDescent="0.25">
      <c r="B20" s="50">
        <v>13</v>
      </c>
      <c r="C20" s="51" t="s">
        <v>17</v>
      </c>
    </row>
    <row r="21" spans="2:5" ht="59.5" customHeight="1" thickBot="1" x14ac:dyDescent="0.3">
      <c r="B21" s="52">
        <v>14</v>
      </c>
      <c r="C21" s="208" t="s">
        <v>18</v>
      </c>
    </row>
    <row r="22" spans="2:5" ht="13.5" thickBot="1" x14ac:dyDescent="0.3">
      <c r="B22" s="96"/>
      <c r="C22" s="98"/>
    </row>
    <row r="23" spans="2:5" ht="13.5" thickBot="1" x14ac:dyDescent="0.3">
      <c r="B23" s="107" t="s">
        <v>19</v>
      </c>
      <c r="C23" s="108"/>
    </row>
    <row r="24" spans="2:5" ht="62.5" x14ac:dyDescent="0.25">
      <c r="B24" s="66">
        <v>15</v>
      </c>
      <c r="C24" s="92" t="s">
        <v>20</v>
      </c>
    </row>
    <row r="25" spans="2:5" ht="62.5" x14ac:dyDescent="0.25">
      <c r="B25" s="50">
        <v>16</v>
      </c>
      <c r="C25" s="539" t="s">
        <v>21</v>
      </c>
    </row>
    <row r="26" spans="2:5" ht="50" x14ac:dyDescent="0.25">
      <c r="B26" s="50">
        <v>17</v>
      </c>
      <c r="C26" s="539" t="s">
        <v>22</v>
      </c>
    </row>
    <row r="27" spans="2:5" ht="50" x14ac:dyDescent="0.25">
      <c r="B27" s="50">
        <v>18</v>
      </c>
      <c r="C27" s="539" t="s">
        <v>23</v>
      </c>
    </row>
    <row r="28" spans="2:5" ht="50" x14ac:dyDescent="0.25">
      <c r="B28" s="50">
        <v>19</v>
      </c>
      <c r="C28" s="539" t="s">
        <v>24</v>
      </c>
    </row>
    <row r="29" spans="2:5" ht="48" customHeight="1" x14ac:dyDescent="0.25">
      <c r="B29" s="50">
        <v>20</v>
      </c>
      <c r="C29" s="539" t="s">
        <v>25</v>
      </c>
    </row>
    <row r="30" spans="2:5" ht="36.65" customHeight="1" x14ac:dyDescent="0.25">
      <c r="B30" s="109">
        <v>21</v>
      </c>
      <c r="C30" s="539" t="s">
        <v>26</v>
      </c>
    </row>
    <row r="31" spans="2:5" ht="38.5" thickBot="1" x14ac:dyDescent="0.3">
      <c r="B31" s="52">
        <v>22</v>
      </c>
      <c r="C31" s="540" t="s">
        <v>27</v>
      </c>
    </row>
  </sheetData>
  <phoneticPr fontId="2" type="noConversion"/>
  <pageMargins left="0.23622047244094491" right="0.23622047244094491" top="0.47244094488188981" bottom="0.43307086614173229" header="0.27559055118110237" footer="0.23622047244094491"/>
  <pageSetup paperSize="9" scale="82" fitToHeight="2" orientation="portrait" r:id="rId1"/>
  <headerFooter alignWithMargins="0"/>
  <rowBreaks count="1" manualBreakCount="1">
    <brk id="16" min="1"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7"/>
    <pageSetUpPr fitToPage="1"/>
  </sheetPr>
  <dimension ref="A1:N93"/>
  <sheetViews>
    <sheetView tabSelected="1" zoomScaleNormal="100" workbookViewId="0">
      <selection activeCell="C38" sqref="C38"/>
    </sheetView>
  </sheetViews>
  <sheetFormatPr defaultRowHeight="12.5" x14ac:dyDescent="0.25"/>
  <cols>
    <col min="1" max="1" width="13.54296875" customWidth="1"/>
    <col min="2" max="2" width="47.26953125" customWidth="1"/>
    <col min="3" max="3" width="12.26953125" bestFit="1" customWidth="1"/>
    <col min="4" max="4" width="10.26953125" customWidth="1"/>
    <col min="5" max="5" width="21.7265625" customWidth="1"/>
    <col min="6" max="6" width="3" customWidth="1"/>
    <col min="7" max="7" width="6.7265625" style="33" bestFit="1" customWidth="1"/>
    <col min="8" max="8" width="0" hidden="1" customWidth="1"/>
    <col min="9" max="9" width="12.26953125" hidden="1" customWidth="1"/>
    <col min="12" max="12" width="8.26953125" hidden="1" customWidth="1"/>
    <col min="13" max="13" width="36.7265625" hidden="1" customWidth="1"/>
    <col min="14" max="14" width="9.26953125" hidden="1" customWidth="1"/>
    <col min="15" max="15" width="9.26953125" customWidth="1"/>
  </cols>
  <sheetData>
    <row r="1" spans="1:14" ht="20" x14ac:dyDescent="0.4">
      <c r="A1" s="155" t="s">
        <v>28</v>
      </c>
    </row>
    <row r="2" spans="1:14" ht="18.5" thickBot="1" x14ac:dyDescent="0.45">
      <c r="B2" s="56"/>
    </row>
    <row r="3" spans="1:14" ht="13.5" thickBot="1" x14ac:dyDescent="0.35">
      <c r="A3" s="3" t="s">
        <v>29</v>
      </c>
      <c r="B3" s="9" t="s">
        <v>30</v>
      </c>
    </row>
    <row r="4" spans="1:14" ht="13.5" thickBot="1" x14ac:dyDescent="0.35">
      <c r="A4" s="3" t="s">
        <v>31</v>
      </c>
      <c r="B4" s="8">
        <f>VLOOKUP(B3,M:N,2,0)</f>
        <v>2059</v>
      </c>
      <c r="M4" t="s">
        <v>32</v>
      </c>
    </row>
    <row r="5" spans="1:14" x14ac:dyDescent="0.25">
      <c r="M5" t="s">
        <v>33</v>
      </c>
      <c r="N5">
        <v>5412</v>
      </c>
    </row>
    <row r="6" spans="1:14" ht="13" x14ac:dyDescent="0.3">
      <c r="B6" s="27"/>
      <c r="C6" s="28" t="s">
        <v>34</v>
      </c>
      <c r="D6" s="28" t="s">
        <v>35</v>
      </c>
      <c r="E6" s="28" t="s">
        <v>36</v>
      </c>
      <c r="G6" s="44" t="s">
        <v>37</v>
      </c>
      <c r="M6" s="60" t="s">
        <v>38</v>
      </c>
      <c r="N6">
        <v>2001</v>
      </c>
    </row>
    <row r="7" spans="1:14" x14ac:dyDescent="0.25">
      <c r="B7" s="10" t="s">
        <v>39</v>
      </c>
      <c r="C7" s="11">
        <f>'All Schools'!AE3</f>
        <v>3937.36</v>
      </c>
      <c r="D7" s="12">
        <f>VLOOKUP($B$4,'All Schools'!$B$5:$CD$93,4,0)</f>
        <v>458</v>
      </c>
      <c r="E7" s="13">
        <f>C7*D7</f>
        <v>1803310.8800000001</v>
      </c>
      <c r="G7" s="45">
        <v>1</v>
      </c>
      <c r="M7" s="60" t="s">
        <v>40</v>
      </c>
      <c r="N7">
        <v>4600</v>
      </c>
    </row>
    <row r="8" spans="1:14" x14ac:dyDescent="0.25">
      <c r="B8" s="14" t="s">
        <v>41</v>
      </c>
      <c r="C8" s="15">
        <f>'All Schools'!AF3</f>
        <v>5388.35</v>
      </c>
      <c r="D8" s="16">
        <f>VLOOKUP($B$4,'All Schools'!$B$5:$CD$93,6,0)</f>
        <v>0</v>
      </c>
      <c r="E8" s="17">
        <f>C8*D8</f>
        <v>0</v>
      </c>
      <c r="G8" s="45">
        <v>1</v>
      </c>
      <c r="I8" s="2"/>
      <c r="M8" t="s">
        <v>42</v>
      </c>
      <c r="N8">
        <v>5400</v>
      </c>
    </row>
    <row r="9" spans="1:14" x14ac:dyDescent="0.25">
      <c r="B9" s="18" t="s">
        <v>43</v>
      </c>
      <c r="C9" s="19">
        <f>'All Schools'!AG3</f>
        <v>6073.96</v>
      </c>
      <c r="D9" s="20">
        <f>VLOOKUP($B$4,'All Schools'!$B$5:$CD$93,7,0)</f>
        <v>0</v>
      </c>
      <c r="E9" s="21">
        <f>C9*D9</f>
        <v>0</v>
      </c>
      <c r="G9" s="45">
        <v>1</v>
      </c>
      <c r="I9" s="2"/>
      <c r="M9" t="s">
        <v>44</v>
      </c>
      <c r="N9">
        <v>3401</v>
      </c>
    </row>
    <row r="10" spans="1:14" ht="13" x14ac:dyDescent="0.3">
      <c r="B10" s="22" t="s">
        <v>45</v>
      </c>
      <c r="C10" s="22"/>
      <c r="D10" s="23">
        <f>SUM(D7:D9)</f>
        <v>458</v>
      </c>
      <c r="E10" s="24">
        <f>SUM(E7:E9)</f>
        <v>1803310.8800000001</v>
      </c>
      <c r="G10" s="45"/>
      <c r="H10" s="574"/>
      <c r="I10" s="2"/>
      <c r="M10" t="s">
        <v>46</v>
      </c>
      <c r="N10">
        <v>2003</v>
      </c>
    </row>
    <row r="11" spans="1:14" x14ac:dyDescent="0.25">
      <c r="D11" s="6"/>
      <c r="E11" s="1"/>
      <c r="G11" s="46"/>
      <c r="M11" t="s">
        <v>47</v>
      </c>
      <c r="N11">
        <v>2002</v>
      </c>
    </row>
    <row r="12" spans="1:14" x14ac:dyDescent="0.25">
      <c r="B12" s="101" t="s">
        <v>48</v>
      </c>
      <c r="C12" s="11">
        <f>'All Schools'!AH3</f>
        <v>539.22540000000004</v>
      </c>
      <c r="D12" s="12">
        <f>VLOOKUP($B$4,'All Schools'!$B$5:$CD$93,8,0)</f>
        <v>180.99999999999983</v>
      </c>
      <c r="E12" s="13">
        <f>D12*C12</f>
        <v>97599.797399999909</v>
      </c>
      <c r="G12" s="45">
        <v>2</v>
      </c>
      <c r="M12" s="60" t="s">
        <v>49</v>
      </c>
      <c r="N12">
        <v>3300</v>
      </c>
    </row>
    <row r="13" spans="1:14" x14ac:dyDescent="0.25">
      <c r="B13" s="93" t="s">
        <v>50</v>
      </c>
      <c r="C13" s="15">
        <f>'All Schools'!AI3</f>
        <v>539.22540000000004</v>
      </c>
      <c r="D13" s="16">
        <f>VLOOKUP($B$4,'All Schools'!$B$5:$CD$93,9,0)</f>
        <v>0</v>
      </c>
      <c r="E13" s="17">
        <f>D13*C13</f>
        <v>0</v>
      </c>
      <c r="G13" s="45">
        <v>2</v>
      </c>
      <c r="M13" t="s">
        <v>51</v>
      </c>
      <c r="N13">
        <v>5206</v>
      </c>
    </row>
    <row r="14" spans="1:14" x14ac:dyDescent="0.25">
      <c r="B14" s="84" t="s">
        <v>52</v>
      </c>
      <c r="C14" s="11">
        <f>'All Schools'!AJ3</f>
        <v>902.37720000000002</v>
      </c>
      <c r="D14" s="12">
        <f>VLOOKUP($B$4,'All Schools'!$B$5:$CD$93,10,0)</f>
        <v>184.00000000000014</v>
      </c>
      <c r="E14" s="13">
        <f>D14*C14</f>
        <v>166037.40480000013</v>
      </c>
      <c r="G14" s="45">
        <v>2</v>
      </c>
      <c r="H14" s="574"/>
      <c r="I14" s="2">
        <f>E12+E14</f>
        <v>263637.20220000006</v>
      </c>
      <c r="M14" s="60" t="s">
        <v>53</v>
      </c>
      <c r="N14">
        <v>2084</v>
      </c>
    </row>
    <row r="15" spans="1:14" x14ac:dyDescent="0.25">
      <c r="B15" s="67" t="s">
        <v>54</v>
      </c>
      <c r="C15" s="15">
        <f>'All Schools'!AK3</f>
        <v>1320.5519999999999</v>
      </c>
      <c r="D15" s="16">
        <f>VLOOKUP($B$4,'All Schools'!$B$5:$CD$93,11,0)</f>
        <v>0</v>
      </c>
      <c r="E15" s="17">
        <f>D15*C15</f>
        <v>0</v>
      </c>
      <c r="G15" s="45">
        <v>2</v>
      </c>
      <c r="I15" s="2"/>
      <c r="M15" s="60" t="s">
        <v>55</v>
      </c>
      <c r="N15">
        <v>2010</v>
      </c>
    </row>
    <row r="16" spans="1:14" x14ac:dyDescent="0.25">
      <c r="B16" s="67" t="s">
        <v>56</v>
      </c>
      <c r="C16" s="15">
        <f>'All Schools'!AL3</f>
        <v>258.60809999999998</v>
      </c>
      <c r="D16" s="16">
        <f>VLOOKUP($B$4,'All Schools'!$B$5:$CD$93,12,0)</f>
        <v>152.99999999999997</v>
      </c>
      <c r="E16" s="17">
        <f t="shared" ref="E16:E32" si="0">D16*C16</f>
        <v>39567.039299999989</v>
      </c>
      <c r="G16" s="45">
        <v>2</v>
      </c>
      <c r="I16" s="2"/>
      <c r="M16" t="s">
        <v>57</v>
      </c>
      <c r="N16">
        <v>2012</v>
      </c>
    </row>
    <row r="17" spans="2:14" x14ac:dyDescent="0.25">
      <c r="B17" s="67" t="s">
        <v>58</v>
      </c>
      <c r="C17" s="15">
        <f>'All Schools'!AM3</f>
        <v>313.6311</v>
      </c>
      <c r="D17" s="16">
        <f>VLOOKUP($B$4,'All Schools'!$B$5:$CD$93,13,0)</f>
        <v>93.000000000000014</v>
      </c>
      <c r="E17" s="17">
        <f t="shared" si="0"/>
        <v>29167.692300000006</v>
      </c>
      <c r="G17" s="45">
        <v>2</v>
      </c>
      <c r="I17" s="2"/>
      <c r="M17" t="s">
        <v>59</v>
      </c>
      <c r="N17">
        <v>2011</v>
      </c>
    </row>
    <row r="18" spans="2:14" x14ac:dyDescent="0.25">
      <c r="B18" s="67" t="s">
        <v>60</v>
      </c>
      <c r="C18" s="15">
        <f>'All Schools'!AN3</f>
        <v>489.7047</v>
      </c>
      <c r="D18" s="16">
        <f>VLOOKUP($B$4,'All Schools'!$B$5:$CD$93,14,0)</f>
        <v>3.9999999999999991</v>
      </c>
      <c r="E18" s="17">
        <f t="shared" si="0"/>
        <v>1958.8187999999996</v>
      </c>
      <c r="G18" s="45">
        <v>2</v>
      </c>
      <c r="I18" s="2"/>
      <c r="M18" s="60" t="s">
        <v>61</v>
      </c>
      <c r="N18">
        <v>3410</v>
      </c>
    </row>
    <row r="19" spans="2:14" x14ac:dyDescent="0.25">
      <c r="B19" s="67" t="s">
        <v>62</v>
      </c>
      <c r="C19" s="15">
        <f>'All Schools'!AO3</f>
        <v>533.72310000000004</v>
      </c>
      <c r="D19" s="16">
        <f>VLOOKUP($B$4,'All Schools'!$B$5:$CD$93,15,0)</f>
        <v>0</v>
      </c>
      <c r="E19" s="17">
        <f t="shared" si="0"/>
        <v>0</v>
      </c>
      <c r="G19" s="45">
        <v>2</v>
      </c>
      <c r="I19" s="2"/>
      <c r="M19" t="s">
        <v>63</v>
      </c>
      <c r="N19">
        <v>2078</v>
      </c>
    </row>
    <row r="20" spans="2:14" x14ac:dyDescent="0.25">
      <c r="B20" s="67" t="s">
        <v>64</v>
      </c>
      <c r="C20" s="15">
        <f>'All Schools'!AP3</f>
        <v>566.73689999999999</v>
      </c>
      <c r="D20" s="16">
        <f>VLOOKUP($B$4,'All Schools'!$B$5:$CD$93,16,0)</f>
        <v>17.999999999999993</v>
      </c>
      <c r="E20" s="17">
        <f t="shared" si="0"/>
        <v>10201.264199999996</v>
      </c>
      <c r="G20" s="45">
        <v>2</v>
      </c>
      <c r="H20" s="574"/>
      <c r="I20" s="2">
        <f>E16+E17+E18+E19+E20</f>
        <v>80894.814599999983</v>
      </c>
      <c r="M20" t="s">
        <v>65</v>
      </c>
      <c r="N20">
        <v>4009</v>
      </c>
    </row>
    <row r="21" spans="2:14" x14ac:dyDescent="0.25">
      <c r="B21" s="67" t="s">
        <v>66</v>
      </c>
      <c r="C21" s="15">
        <f>'All Schools'!AQ3</f>
        <v>748.31280000000004</v>
      </c>
      <c r="D21" s="16">
        <f>VLOOKUP($B$4,'All Schools'!$B$5:$CD$93,17,0)</f>
        <v>0</v>
      </c>
      <c r="E21" s="17">
        <f t="shared" si="0"/>
        <v>0</v>
      </c>
      <c r="G21" s="45">
        <v>2</v>
      </c>
      <c r="I21" s="2"/>
      <c r="M21" t="s">
        <v>67</v>
      </c>
      <c r="N21">
        <v>2016</v>
      </c>
    </row>
    <row r="22" spans="2:14" x14ac:dyDescent="0.25">
      <c r="B22" s="67" t="s">
        <v>68</v>
      </c>
      <c r="C22" s="15">
        <f>'All Schools'!AR3</f>
        <v>374.15640000000002</v>
      </c>
      <c r="D22" s="16">
        <f>VLOOKUP($B$4,'All Schools'!$B$5:$CD$93,18,0)</f>
        <v>0</v>
      </c>
      <c r="E22" s="17">
        <f t="shared" si="0"/>
        <v>0</v>
      </c>
      <c r="G22" s="45">
        <v>2</v>
      </c>
      <c r="I22" s="2"/>
      <c r="M22" t="s">
        <v>69</v>
      </c>
      <c r="N22">
        <v>3307</v>
      </c>
    </row>
    <row r="23" spans="2:14" x14ac:dyDescent="0.25">
      <c r="B23" s="67" t="s">
        <v>70</v>
      </c>
      <c r="C23" s="15">
        <f>'All Schools'!AS3</f>
        <v>495.20699999999999</v>
      </c>
      <c r="D23" s="16">
        <f>VLOOKUP($B$4,'All Schools'!$B$5:$CD$93,19,0)</f>
        <v>0</v>
      </c>
      <c r="E23" s="17">
        <f t="shared" si="0"/>
        <v>0</v>
      </c>
      <c r="G23" s="45">
        <v>2</v>
      </c>
      <c r="I23" s="2"/>
      <c r="M23" s="53" t="s">
        <v>71</v>
      </c>
      <c r="N23">
        <v>2019</v>
      </c>
    </row>
    <row r="24" spans="2:14" x14ac:dyDescent="0.25">
      <c r="B24" s="67" t="s">
        <v>72</v>
      </c>
      <c r="C24" s="15">
        <f>'All Schools'!AT3</f>
        <v>693.28980000000001</v>
      </c>
      <c r="D24" s="16">
        <f>VLOOKUP($B$4,'All Schools'!$B$5:$CD$93,20,0)</f>
        <v>0</v>
      </c>
      <c r="E24" s="17">
        <f t="shared" si="0"/>
        <v>0</v>
      </c>
      <c r="G24" s="45">
        <v>2</v>
      </c>
      <c r="I24" s="2"/>
      <c r="M24" t="s">
        <v>73</v>
      </c>
      <c r="N24">
        <v>2018</v>
      </c>
    </row>
    <row r="25" spans="2:14" x14ac:dyDescent="0.25">
      <c r="B25" s="67" t="s">
        <v>74</v>
      </c>
      <c r="C25" s="15">
        <f>'All Schools'!AU3</f>
        <v>759.31740000000002</v>
      </c>
      <c r="D25" s="16">
        <f>VLOOKUP($B$4,'All Schools'!$B$5:$CD$93,21,0)</f>
        <v>0</v>
      </c>
      <c r="E25" s="17">
        <f t="shared" si="0"/>
        <v>0</v>
      </c>
      <c r="G25" s="45">
        <v>2</v>
      </c>
      <c r="I25" s="2"/>
      <c r="M25" t="s">
        <v>75</v>
      </c>
      <c r="N25">
        <v>2076</v>
      </c>
    </row>
    <row r="26" spans="2:14" x14ac:dyDescent="0.25">
      <c r="B26" s="67" t="s">
        <v>76</v>
      </c>
      <c r="C26" s="15">
        <f>'All Schools'!AV3</f>
        <v>814.34040000000005</v>
      </c>
      <c r="D26" s="16">
        <f>VLOOKUP($B$4,'All Schools'!$B$5:$CD$93,22,0)</f>
        <v>0</v>
      </c>
      <c r="E26" s="17">
        <f t="shared" si="0"/>
        <v>0</v>
      </c>
      <c r="G26" s="45">
        <v>2</v>
      </c>
      <c r="I26" s="2"/>
      <c r="M26" t="s">
        <v>77</v>
      </c>
      <c r="N26">
        <v>2020</v>
      </c>
    </row>
    <row r="27" spans="2:14" x14ac:dyDescent="0.25">
      <c r="B27" s="67" t="s">
        <v>78</v>
      </c>
      <c r="C27" s="15">
        <f>'All Schools'!AW3</f>
        <v>1039.9347</v>
      </c>
      <c r="D27" s="16">
        <f>VLOOKUP($B$4,'All Schools'!$B$5:$CD$93,23,0)</f>
        <v>0</v>
      </c>
      <c r="E27" s="17">
        <f t="shared" si="0"/>
        <v>0</v>
      </c>
      <c r="G27" s="45">
        <v>2</v>
      </c>
      <c r="I27" s="2"/>
      <c r="M27" s="53" t="s">
        <v>79</v>
      </c>
      <c r="N27">
        <v>5203</v>
      </c>
    </row>
    <row r="28" spans="2:14" x14ac:dyDescent="0.25">
      <c r="B28" s="14" t="s">
        <v>80</v>
      </c>
      <c r="C28" s="15">
        <f>'All Schools'!AX3</f>
        <v>649.27139999999997</v>
      </c>
      <c r="D28" s="16">
        <f>VLOOKUP($B$4,'All Schools'!$B$5:$CD$93,24,0)</f>
        <v>138.99999999999983</v>
      </c>
      <c r="E28" s="17">
        <f t="shared" si="0"/>
        <v>90248.724599999885</v>
      </c>
      <c r="G28" s="45">
        <v>3</v>
      </c>
      <c r="H28" s="574"/>
      <c r="I28" s="2"/>
      <c r="M28" s="60" t="s">
        <v>81</v>
      </c>
      <c r="N28">
        <v>5202</v>
      </c>
    </row>
    <row r="29" spans="2:14" x14ac:dyDescent="0.25">
      <c r="B29" s="14" t="s">
        <v>82</v>
      </c>
      <c r="C29" s="15">
        <f>'All Schools'!AY3</f>
        <v>1744.2291</v>
      </c>
      <c r="D29" s="16">
        <f>VLOOKUP($B$4,'All Schools'!$B$5:$CD$93,25,0)</f>
        <v>0</v>
      </c>
      <c r="E29" s="17">
        <f t="shared" si="0"/>
        <v>0</v>
      </c>
      <c r="G29" s="45">
        <v>3</v>
      </c>
      <c r="I29" s="2"/>
      <c r="M29" t="s">
        <v>83</v>
      </c>
      <c r="N29">
        <v>4654</v>
      </c>
    </row>
    <row r="30" spans="2:14" x14ac:dyDescent="0.25">
      <c r="B30" s="67" t="s">
        <v>84</v>
      </c>
      <c r="C30" s="15">
        <f>'All Schools'!AZ3</f>
        <v>1287.5382</v>
      </c>
      <c r="D30" s="16">
        <f>VLOOKUP($B$4,'All Schools'!$B$5:$CD$93,26,0)</f>
        <v>96.134902064376107</v>
      </c>
      <c r="E30" s="17">
        <f t="shared" si="0"/>
        <v>123777.3587611431</v>
      </c>
      <c r="G30" s="45">
        <v>4</v>
      </c>
      <c r="H30" s="574"/>
      <c r="I30" s="2"/>
      <c r="M30" t="s">
        <v>85</v>
      </c>
      <c r="N30">
        <v>2024</v>
      </c>
    </row>
    <row r="31" spans="2:14" x14ac:dyDescent="0.25">
      <c r="B31" s="67" t="s">
        <v>86</v>
      </c>
      <c r="C31" s="15">
        <f>'All Schools'!BA3</f>
        <v>1953.3164999999999</v>
      </c>
      <c r="D31" s="16">
        <f>VLOOKUP($B$4,'All Schools'!$B$5:$CD$93,27,0)</f>
        <v>0</v>
      </c>
      <c r="E31" s="17">
        <f t="shared" si="0"/>
        <v>0</v>
      </c>
      <c r="G31" s="45">
        <v>5</v>
      </c>
      <c r="I31" s="2"/>
      <c r="M31" s="60" t="s">
        <v>87</v>
      </c>
      <c r="N31">
        <v>2023</v>
      </c>
    </row>
    <row r="32" spans="2:14" x14ac:dyDescent="0.25">
      <c r="B32" s="14" t="s">
        <v>88</v>
      </c>
      <c r="C32" s="15">
        <f>'All Schools'!BB3</f>
        <v>1056.4416000000001</v>
      </c>
      <c r="D32" s="16">
        <f>VLOOKUP($B$4,'All Schools'!$B$5:$CD$93,28,0)</f>
        <v>11.520000000000003</v>
      </c>
      <c r="E32" s="17">
        <f t="shared" si="0"/>
        <v>12170.207232000004</v>
      </c>
      <c r="G32" s="45">
        <v>6</v>
      </c>
      <c r="I32" s="2"/>
      <c r="M32" t="s">
        <v>89</v>
      </c>
      <c r="N32">
        <v>5411</v>
      </c>
    </row>
    <row r="33" spans="2:14" x14ac:dyDescent="0.25">
      <c r="B33" s="14" t="s">
        <v>90</v>
      </c>
      <c r="C33" s="15">
        <f>'All Schools'!BC3</f>
        <v>1518.6348</v>
      </c>
      <c r="D33" s="16">
        <f>VLOOKUP($B$4,'All Schools'!$B$5:$CD$93,29,0)</f>
        <v>0</v>
      </c>
      <c r="E33" s="17">
        <f>D33*C33</f>
        <v>0</v>
      </c>
      <c r="G33" s="45">
        <v>6</v>
      </c>
      <c r="I33" s="2"/>
      <c r="M33" t="s">
        <v>91</v>
      </c>
      <c r="N33">
        <v>2025</v>
      </c>
    </row>
    <row r="34" spans="2:14" ht="13" x14ac:dyDescent="0.3">
      <c r="B34" s="25" t="s">
        <v>92</v>
      </c>
      <c r="C34" s="25"/>
      <c r="D34" s="25"/>
      <c r="E34" s="26">
        <f>SUM(E12:E33)</f>
        <v>570728.30739314295</v>
      </c>
      <c r="G34" s="45"/>
      <c r="M34" t="s">
        <v>93</v>
      </c>
      <c r="N34">
        <v>2026</v>
      </c>
    </row>
    <row r="35" spans="2:14" x14ac:dyDescent="0.25">
      <c r="E35" s="1"/>
      <c r="G35" s="46"/>
      <c r="M35" t="s">
        <v>94</v>
      </c>
      <c r="N35">
        <v>5401</v>
      </c>
    </row>
    <row r="36" spans="2:14" x14ac:dyDescent="0.25">
      <c r="B36" s="84" t="s">
        <v>95</v>
      </c>
      <c r="C36" s="11"/>
      <c r="D36" s="10"/>
      <c r="E36" s="102">
        <f>VLOOKUP($B$4,'All Schools'!$B$5:$CD$93,56,0)</f>
        <v>151599.37</v>
      </c>
      <c r="G36" s="45"/>
      <c r="I36" s="2"/>
      <c r="M36" t="s">
        <v>96</v>
      </c>
      <c r="N36">
        <v>5211</v>
      </c>
    </row>
    <row r="37" spans="2:14" x14ac:dyDescent="0.25">
      <c r="B37" s="93" t="s">
        <v>97</v>
      </c>
      <c r="C37" s="15"/>
      <c r="D37" s="14"/>
      <c r="E37" s="103">
        <f>VLOOKUP($B$4,'All Schools'!$B$5:$CD$93,57,0)</f>
        <v>0</v>
      </c>
      <c r="G37" s="45"/>
      <c r="I37" s="2"/>
      <c r="M37" s="60" t="s">
        <v>98</v>
      </c>
      <c r="N37">
        <v>4002</v>
      </c>
    </row>
    <row r="38" spans="2:14" x14ac:dyDescent="0.25">
      <c r="B38" s="14" t="s">
        <v>99</v>
      </c>
      <c r="C38" s="15"/>
      <c r="D38" s="14"/>
      <c r="E38" s="103">
        <f>VLOOKUP($B$4,'All Schools'!$B$5:$CD$93,58,0)</f>
        <v>35378</v>
      </c>
      <c r="G38" s="45">
        <v>7</v>
      </c>
      <c r="I38" s="2"/>
      <c r="M38" t="s">
        <v>100</v>
      </c>
      <c r="N38">
        <v>2029</v>
      </c>
    </row>
    <row r="39" spans="2:14" x14ac:dyDescent="0.25">
      <c r="B39" s="67" t="s">
        <v>101</v>
      </c>
      <c r="C39" s="15"/>
      <c r="D39" s="14"/>
      <c r="E39" s="103">
        <f>VLOOKUP($B$4,'All Schools'!$B$5:$CD$93,59,0)</f>
        <v>9696</v>
      </c>
      <c r="G39" s="45">
        <v>7</v>
      </c>
      <c r="M39" s="60" t="s">
        <v>102</v>
      </c>
      <c r="N39">
        <v>2061</v>
      </c>
    </row>
    <row r="40" spans="2:14" x14ac:dyDescent="0.25">
      <c r="B40" s="14" t="s">
        <v>103</v>
      </c>
      <c r="C40" s="15"/>
      <c r="D40" s="14"/>
      <c r="E40" s="103">
        <f>VLOOKUP($B$4,'All Schools'!$B$5:$CD$93,60,0)</f>
        <v>0</v>
      </c>
      <c r="G40" s="45"/>
      <c r="M40" t="s">
        <v>104</v>
      </c>
      <c r="N40">
        <v>5407</v>
      </c>
    </row>
    <row r="41" spans="2:14" x14ac:dyDescent="0.25">
      <c r="B41" s="14" t="s">
        <v>105</v>
      </c>
      <c r="C41" s="15"/>
      <c r="D41" s="14"/>
      <c r="E41" s="103">
        <f>VLOOKUP($B$4,'All Schools'!$B$5:$CD$93,61,0)</f>
        <v>0</v>
      </c>
      <c r="G41" s="45"/>
      <c r="M41" s="60" t="s">
        <v>106</v>
      </c>
      <c r="N41">
        <v>2021</v>
      </c>
    </row>
    <row r="42" spans="2:14" x14ac:dyDescent="0.25">
      <c r="B42" s="69" t="s">
        <v>107</v>
      </c>
      <c r="C42" s="19"/>
      <c r="D42" s="18"/>
      <c r="E42" s="103">
        <f>VLOOKUP($B$4,'All Schools'!$B$5:$CD$93,62,0)</f>
        <v>0</v>
      </c>
      <c r="G42" s="45"/>
      <c r="M42" t="s">
        <v>108</v>
      </c>
      <c r="N42">
        <v>2063</v>
      </c>
    </row>
    <row r="43" spans="2:14" ht="13" x14ac:dyDescent="0.3">
      <c r="B43" s="25" t="s">
        <v>109</v>
      </c>
      <c r="C43" s="25"/>
      <c r="D43" s="25"/>
      <c r="E43" s="26">
        <f>SUM(E36:E42)</f>
        <v>196673.37</v>
      </c>
      <c r="G43" s="45"/>
      <c r="M43" t="s">
        <v>110</v>
      </c>
      <c r="N43">
        <v>2081</v>
      </c>
    </row>
    <row r="44" spans="2:14" x14ac:dyDescent="0.25">
      <c r="E44" s="1"/>
      <c r="G44" s="46"/>
      <c r="M44" t="s">
        <v>111</v>
      </c>
      <c r="N44">
        <v>5204</v>
      </c>
    </row>
    <row r="45" spans="2:14" ht="13" x14ac:dyDescent="0.3">
      <c r="B45" s="25" t="s">
        <v>112</v>
      </c>
      <c r="C45" s="25"/>
      <c r="D45" s="25"/>
      <c r="E45" s="26">
        <f>E10+E34+E43</f>
        <v>2570712.557393143</v>
      </c>
      <c r="G45" s="45"/>
      <c r="M45" t="s">
        <v>113</v>
      </c>
      <c r="N45">
        <v>5205</v>
      </c>
    </row>
    <row r="46" spans="2:14" x14ac:dyDescent="0.25">
      <c r="E46" s="1"/>
      <c r="G46" s="46"/>
      <c r="M46" t="s">
        <v>114</v>
      </c>
      <c r="N46">
        <v>3302</v>
      </c>
    </row>
    <row r="47" spans="2:14" x14ac:dyDescent="0.25">
      <c r="B47" s="10" t="s">
        <v>115</v>
      </c>
      <c r="C47" s="10"/>
      <c r="D47" s="10"/>
      <c r="E47" s="13">
        <f>VLOOKUP($B$4,'All Schools'!$B$5:$CD$93,70,0)</f>
        <v>2373914.611393143</v>
      </c>
      <c r="G47" s="45">
        <v>8</v>
      </c>
      <c r="M47" t="s">
        <v>116</v>
      </c>
      <c r="N47">
        <v>2027</v>
      </c>
    </row>
    <row r="48" spans="2:14" x14ac:dyDescent="0.25">
      <c r="B48" s="67" t="s">
        <v>117</v>
      </c>
      <c r="C48" s="14"/>
      <c r="D48" s="14"/>
      <c r="E48" s="17">
        <f>VLOOKUP($B$4,'All Schools'!$B$5:$CD$93,71,0)</f>
        <v>5183.2196755308796</v>
      </c>
      <c r="G48" s="45">
        <v>8</v>
      </c>
      <c r="M48" t="s">
        <v>118</v>
      </c>
      <c r="N48">
        <v>2032</v>
      </c>
    </row>
    <row r="49" spans="2:14" x14ac:dyDescent="0.25">
      <c r="B49" s="67" t="s">
        <v>119</v>
      </c>
      <c r="C49" s="14"/>
      <c r="D49" s="14"/>
      <c r="E49" s="17">
        <f>VLOOKUP($B$4,'All Schools'!$B$5:$CD$93,72,0)</f>
        <v>5296.2594739130436</v>
      </c>
      <c r="G49" s="45">
        <v>8</v>
      </c>
      <c r="M49" t="s">
        <v>120</v>
      </c>
      <c r="N49">
        <v>2028</v>
      </c>
    </row>
    <row r="50" spans="2:14" x14ac:dyDescent="0.25">
      <c r="B50" s="14" t="s">
        <v>121</v>
      </c>
      <c r="C50" s="14"/>
      <c r="D50" s="14"/>
      <c r="E50" s="284">
        <f>VLOOKUP($B$4,'All Schools'!$B$5:$CD$93,73,0)</f>
        <v>-2.1343327104524704E-2</v>
      </c>
      <c r="G50" s="45">
        <v>9</v>
      </c>
      <c r="M50" t="s">
        <v>122</v>
      </c>
      <c r="N50">
        <v>2017</v>
      </c>
    </row>
    <row r="51" spans="2:14" x14ac:dyDescent="0.25">
      <c r="B51" s="14" t="s">
        <v>123</v>
      </c>
      <c r="C51" s="17"/>
      <c r="D51" s="14"/>
      <c r="E51" s="284">
        <f>VLOOKUP($B$4,'All Schools'!$B$5:$CD$93,74,0)</f>
        <v>2.6343327104524705E-2</v>
      </c>
      <c r="G51" s="47">
        <v>9</v>
      </c>
      <c r="M51" t="s">
        <v>124</v>
      </c>
      <c r="N51">
        <v>2037</v>
      </c>
    </row>
    <row r="52" spans="2:14" x14ac:dyDescent="0.25">
      <c r="B52" s="14" t="s">
        <v>125</v>
      </c>
      <c r="C52" s="17"/>
      <c r="D52" s="14"/>
      <c r="E52" s="17">
        <f>VLOOKUP($B$4,'All Schools'!$B$5:$CD$93,75,0)</f>
        <v>63776.085854292003</v>
      </c>
      <c r="G52" s="45">
        <v>9</v>
      </c>
      <c r="I52" s="2"/>
      <c r="M52" t="s">
        <v>126</v>
      </c>
      <c r="N52">
        <v>2036</v>
      </c>
    </row>
    <row r="53" spans="2:14" ht="13" x14ac:dyDescent="0.3">
      <c r="B53" s="25" t="s">
        <v>127</v>
      </c>
      <c r="C53" s="26"/>
      <c r="D53" s="25"/>
      <c r="E53" s="26">
        <f>E45+E52</f>
        <v>2634488.6432474349</v>
      </c>
      <c r="G53" s="45"/>
      <c r="I53" s="2"/>
      <c r="M53" s="60" t="s">
        <v>128</v>
      </c>
      <c r="N53">
        <v>2022</v>
      </c>
    </row>
    <row r="54" spans="2:14" x14ac:dyDescent="0.25">
      <c r="C54" s="1"/>
      <c r="E54" s="1"/>
      <c r="G54" s="46"/>
      <c r="M54" s="60" t="s">
        <v>129</v>
      </c>
      <c r="N54">
        <v>2039</v>
      </c>
    </row>
    <row r="55" spans="2:14" ht="13" x14ac:dyDescent="0.3">
      <c r="B55" s="25" t="s">
        <v>130</v>
      </c>
      <c r="C55" s="100"/>
      <c r="D55" s="88"/>
      <c r="E55" s="87">
        <f>VLOOKUP(B4,'All Schools'!$B$5:$CB$94,66,0)</f>
        <v>300189.22163723456</v>
      </c>
      <c r="G55" s="45">
        <v>10</v>
      </c>
      <c r="M55" t="s">
        <v>131</v>
      </c>
      <c r="N55">
        <v>2038</v>
      </c>
    </row>
    <row r="56" spans="2:14" x14ac:dyDescent="0.25">
      <c r="C56" s="1"/>
      <c r="E56" s="1"/>
      <c r="G56" s="46"/>
      <c r="M56" t="s">
        <v>132</v>
      </c>
      <c r="N56">
        <v>5405</v>
      </c>
    </row>
    <row r="57" spans="2:14" x14ac:dyDescent="0.25">
      <c r="B57" s="99" t="s">
        <v>133</v>
      </c>
      <c r="C57" s="100">
        <v>1.28</v>
      </c>
      <c r="D57" s="32">
        <f>D10</f>
        <v>458</v>
      </c>
      <c r="E57" s="87">
        <f>VLOOKUP(B4,'All Schools'!$B$5:$CB$93,77,0)</f>
        <v>-586.24</v>
      </c>
      <c r="G57" s="45">
        <v>11</v>
      </c>
      <c r="M57" s="60" t="s">
        <v>134</v>
      </c>
      <c r="N57">
        <v>5200</v>
      </c>
    </row>
    <row r="58" spans="2:14" x14ac:dyDescent="0.25">
      <c r="B58" s="99" t="s">
        <v>135</v>
      </c>
      <c r="C58" s="89">
        <v>10.93</v>
      </c>
      <c r="D58" s="32">
        <f>D10</f>
        <v>458</v>
      </c>
      <c r="E58" s="87">
        <f>VLOOKUP(B4,'All Schools'!$B$5:$CB$94,78,0)</f>
        <v>-5005.9399999999996</v>
      </c>
      <c r="G58" s="45">
        <v>11</v>
      </c>
      <c r="J58" s="2"/>
      <c r="M58" t="s">
        <v>136</v>
      </c>
      <c r="N58">
        <v>5409</v>
      </c>
    </row>
    <row r="59" spans="2:14" ht="13" thickBot="1" x14ac:dyDescent="0.3">
      <c r="E59" s="1"/>
      <c r="G59" s="46"/>
      <c r="M59" t="s">
        <v>137</v>
      </c>
      <c r="N59">
        <v>4021</v>
      </c>
    </row>
    <row r="60" spans="2:14" ht="13.5" thickBot="1" x14ac:dyDescent="0.35">
      <c r="B60" s="29" t="s">
        <v>138</v>
      </c>
      <c r="C60" s="30"/>
      <c r="D60" s="30"/>
      <c r="E60" s="31">
        <f>E53+E57+E58</f>
        <v>2628896.4632474347</v>
      </c>
      <c r="G60" s="45"/>
      <c r="M60" t="s">
        <v>139</v>
      </c>
      <c r="N60">
        <v>4000</v>
      </c>
    </row>
    <row r="61" spans="2:14" ht="13" thickBot="1" x14ac:dyDescent="0.3">
      <c r="C61" t="s">
        <v>140</v>
      </c>
      <c r="E61" s="1">
        <f>E60-E38</f>
        <v>2593518.4632474347</v>
      </c>
      <c r="G61" s="46"/>
      <c r="M61" t="s">
        <v>141</v>
      </c>
      <c r="N61">
        <v>2040</v>
      </c>
    </row>
    <row r="62" spans="2:14" ht="13.5" thickBot="1" x14ac:dyDescent="0.35">
      <c r="B62" s="58" t="s">
        <v>142</v>
      </c>
      <c r="E62" s="573">
        <f>E60-E38</f>
        <v>2593518.4632474347</v>
      </c>
      <c r="G62" s="46"/>
      <c r="M62" t="s">
        <v>143</v>
      </c>
      <c r="N62">
        <v>5403</v>
      </c>
    </row>
    <row r="63" spans="2:14" x14ac:dyDescent="0.25">
      <c r="E63" s="1"/>
      <c r="G63" s="46"/>
      <c r="M63" t="s">
        <v>144</v>
      </c>
      <c r="N63">
        <v>2064</v>
      </c>
    </row>
    <row r="64" spans="2:14" x14ac:dyDescent="0.25">
      <c r="B64" s="84" t="s">
        <v>145</v>
      </c>
      <c r="C64" s="105"/>
      <c r="D64" s="63"/>
      <c r="E64" s="13">
        <f>VLOOKUP(B4,'All Schools'!$B$5:$CI$93,81,0)</f>
        <v>0</v>
      </c>
      <c r="G64" s="61">
        <v>12</v>
      </c>
      <c r="H64" s="574"/>
      <c r="M64" t="s">
        <v>146</v>
      </c>
      <c r="N64">
        <v>5406</v>
      </c>
    </row>
    <row r="65" spans="2:14" x14ac:dyDescent="0.25">
      <c r="B65" s="67" t="s">
        <v>147</v>
      </c>
      <c r="C65" s="64"/>
      <c r="D65" s="59"/>
      <c r="E65" s="17">
        <f>VLOOKUP(B4,'All Schools'!$B$5:$CI$93,82,0)</f>
        <v>0</v>
      </c>
      <c r="G65" s="61">
        <v>12</v>
      </c>
      <c r="H65" s="574"/>
      <c r="M65" t="s">
        <v>148</v>
      </c>
      <c r="N65">
        <v>2045</v>
      </c>
    </row>
    <row r="66" spans="2:14" x14ac:dyDescent="0.25">
      <c r="B66" s="67" t="s">
        <v>149</v>
      </c>
      <c r="C66" s="64"/>
      <c r="D66" s="59"/>
      <c r="E66" s="17">
        <f>VLOOKUP(B4,'All Schools'!$B$5:$CI$93,83,0)</f>
        <v>0</v>
      </c>
      <c r="G66" s="61">
        <v>13</v>
      </c>
      <c r="M66" t="s">
        <v>150</v>
      </c>
      <c r="N66">
        <v>2080</v>
      </c>
    </row>
    <row r="67" spans="2:14" x14ac:dyDescent="0.25">
      <c r="B67" s="67" t="s">
        <v>151</v>
      </c>
      <c r="C67" s="64"/>
      <c r="D67" s="59"/>
      <c r="E67" s="17">
        <f>VLOOKUP(B4,'All Schools'!$B$5:$CI$93,85,0)</f>
        <v>0</v>
      </c>
      <c r="G67" s="61">
        <v>14</v>
      </c>
      <c r="H67" s="574"/>
      <c r="M67" t="s">
        <v>152</v>
      </c>
      <c r="N67">
        <v>4023</v>
      </c>
    </row>
    <row r="68" spans="2:14" x14ac:dyDescent="0.25">
      <c r="B68" s="69" t="s">
        <v>153</v>
      </c>
      <c r="C68" s="65"/>
      <c r="D68" s="83"/>
      <c r="E68" s="21">
        <f>VLOOKUP(B4,'All Schools'!$B$5:$CI$93,86,0)</f>
        <v>65414.333333333328</v>
      </c>
      <c r="G68" s="61">
        <v>14</v>
      </c>
      <c r="M68" t="s">
        <v>154</v>
      </c>
      <c r="N68">
        <v>2048</v>
      </c>
    </row>
    <row r="69" spans="2:14" x14ac:dyDescent="0.25">
      <c r="M69" t="s">
        <v>155</v>
      </c>
      <c r="N69">
        <v>3405</v>
      </c>
    </row>
    <row r="70" spans="2:14" ht="13" x14ac:dyDescent="0.3">
      <c r="B70" s="58" t="s">
        <v>19</v>
      </c>
      <c r="M70" t="s">
        <v>156</v>
      </c>
      <c r="N70">
        <v>5208</v>
      </c>
    </row>
    <row r="71" spans="2:14" x14ac:dyDescent="0.25">
      <c r="M71" t="s">
        <v>157</v>
      </c>
      <c r="N71">
        <v>3402</v>
      </c>
    </row>
    <row r="72" spans="2:14" x14ac:dyDescent="0.25">
      <c r="B72" s="101" t="s">
        <v>158</v>
      </c>
      <c r="C72" s="10"/>
      <c r="D72" s="10"/>
      <c r="E72" s="102">
        <f>VLOOKUP(B4,'All Schools'!$B$5:$CS$93,88,0)</f>
        <v>270630</v>
      </c>
      <c r="G72" s="61">
        <v>15</v>
      </c>
      <c r="H72" s="574"/>
      <c r="M72" s="60" t="s">
        <v>159</v>
      </c>
      <c r="N72">
        <v>2035</v>
      </c>
    </row>
    <row r="73" spans="2:14" x14ac:dyDescent="0.25">
      <c r="B73" s="93" t="s">
        <v>160</v>
      </c>
      <c r="C73" s="14"/>
      <c r="D73" s="14"/>
      <c r="E73" s="103">
        <f>VLOOKUP(B4,'All Schools'!$B$5:$CS$93,89,0)</f>
        <v>0</v>
      </c>
      <c r="G73" s="61">
        <v>16</v>
      </c>
      <c r="H73" s="574"/>
      <c r="M73" t="s">
        <v>161</v>
      </c>
      <c r="N73">
        <v>3404</v>
      </c>
    </row>
    <row r="74" spans="2:14" x14ac:dyDescent="0.25">
      <c r="B74" s="93" t="s">
        <v>162</v>
      </c>
      <c r="C74" s="14"/>
      <c r="D74" s="14"/>
      <c r="E74" s="103">
        <f>VLOOKUP(B4,'All Schools'!$B$5:$CS$93,90,0)</f>
        <v>0</v>
      </c>
      <c r="G74" s="61">
        <v>17</v>
      </c>
      <c r="H74" s="574"/>
      <c r="M74" s="60" t="s">
        <v>163</v>
      </c>
      <c r="N74">
        <v>3306</v>
      </c>
    </row>
    <row r="75" spans="2:14" x14ac:dyDescent="0.25">
      <c r="B75" s="93" t="s">
        <v>164</v>
      </c>
      <c r="C75" s="14"/>
      <c r="D75" s="14"/>
      <c r="E75" s="103">
        <f>VLOOKUP(B4,'All Schools'!$B$5:$CS$93,91,0)</f>
        <v>8596</v>
      </c>
      <c r="G75" s="61">
        <v>18</v>
      </c>
      <c r="M75" s="60" t="s">
        <v>165</v>
      </c>
      <c r="N75">
        <v>3400</v>
      </c>
    </row>
    <row r="76" spans="2:14" x14ac:dyDescent="0.25">
      <c r="B76" s="93" t="s">
        <v>166</v>
      </c>
      <c r="C76" s="14"/>
      <c r="D76" s="14"/>
      <c r="E76" s="103">
        <f>VLOOKUP(B4,'All Schools'!$B$5:$CS$93,93,0)</f>
        <v>0</v>
      </c>
      <c r="G76" s="61">
        <v>19</v>
      </c>
      <c r="M76" t="s">
        <v>167</v>
      </c>
      <c r="N76">
        <v>3403</v>
      </c>
    </row>
    <row r="77" spans="2:14" x14ac:dyDescent="0.25">
      <c r="B77" s="93" t="s">
        <v>168</v>
      </c>
      <c r="C77" s="14"/>
      <c r="D77" s="14"/>
      <c r="E77" s="103">
        <f>VLOOKUP(B4,'All Schools'!$B$5:$CS$93,92,0)</f>
        <v>44715.428571428572</v>
      </c>
      <c r="G77" s="61">
        <v>20</v>
      </c>
      <c r="H77" s="574"/>
      <c r="M77" t="s">
        <v>169</v>
      </c>
      <c r="N77">
        <v>5410</v>
      </c>
    </row>
    <row r="78" spans="2:14" x14ac:dyDescent="0.25">
      <c r="B78" s="93" t="s">
        <v>170</v>
      </c>
      <c r="C78" s="14"/>
      <c r="D78" s="14"/>
      <c r="E78" s="103">
        <f>VLOOKUP(B4,'All Schools'!$B$5:$CS$93,95,0)</f>
        <v>0</v>
      </c>
      <c r="G78" s="61">
        <v>21</v>
      </c>
      <c r="M78" t="s">
        <v>171</v>
      </c>
      <c r="N78">
        <v>2004</v>
      </c>
    </row>
    <row r="79" spans="2:14" x14ac:dyDescent="0.25">
      <c r="B79" s="104" t="s">
        <v>172</v>
      </c>
      <c r="C79" s="18"/>
      <c r="D79" s="18"/>
      <c r="E79" s="76">
        <f>VLOOKUP(B4,'All Schools'!$B$5:$CS$93,96,0)</f>
        <v>0</v>
      </c>
      <c r="G79" s="61">
        <v>21</v>
      </c>
      <c r="M79" t="s">
        <v>173</v>
      </c>
      <c r="N79">
        <v>5408</v>
      </c>
    </row>
    <row r="80" spans="2:14" x14ac:dyDescent="0.25">
      <c r="M80" s="60" t="s">
        <v>174</v>
      </c>
      <c r="N80">
        <v>4014</v>
      </c>
    </row>
    <row r="81" spans="2:14" x14ac:dyDescent="0.25">
      <c r="B81" s="99" t="s">
        <v>175</v>
      </c>
      <c r="C81" s="88"/>
      <c r="D81" s="88"/>
      <c r="E81" s="514">
        <f>VLOOKUP(B4,'All Schools'!$B$5:$CS$93,94,0)</f>
        <v>9321.25</v>
      </c>
      <c r="F81" s="405"/>
      <c r="G81" s="61">
        <v>22</v>
      </c>
      <c r="M81" t="s">
        <v>176</v>
      </c>
      <c r="N81">
        <v>6906</v>
      </c>
    </row>
    <row r="82" spans="2:14" x14ac:dyDescent="0.25">
      <c r="M82" t="s">
        <v>177</v>
      </c>
      <c r="N82">
        <v>5404</v>
      </c>
    </row>
    <row r="83" spans="2:14" x14ac:dyDescent="0.25">
      <c r="M83" t="s">
        <v>178</v>
      </c>
      <c r="N83">
        <v>5402</v>
      </c>
    </row>
    <row r="84" spans="2:14" x14ac:dyDescent="0.25">
      <c r="M84" s="60" t="s">
        <v>179</v>
      </c>
      <c r="N84">
        <v>2065</v>
      </c>
    </row>
    <row r="85" spans="2:14" x14ac:dyDescent="0.25">
      <c r="M85" t="s">
        <v>180</v>
      </c>
      <c r="N85">
        <v>2051</v>
      </c>
    </row>
    <row r="86" spans="2:14" x14ac:dyDescent="0.25">
      <c r="M86" s="60" t="s">
        <v>181</v>
      </c>
      <c r="N86">
        <v>2069</v>
      </c>
    </row>
    <row r="87" spans="2:14" x14ac:dyDescent="0.25">
      <c r="M87" t="s">
        <v>182</v>
      </c>
      <c r="N87">
        <v>2052</v>
      </c>
    </row>
    <row r="88" spans="2:14" x14ac:dyDescent="0.25">
      <c r="M88" s="60" t="s">
        <v>183</v>
      </c>
      <c r="N88">
        <v>2074</v>
      </c>
    </row>
    <row r="89" spans="2:14" x14ac:dyDescent="0.25">
      <c r="M89" t="s">
        <v>184</v>
      </c>
      <c r="N89">
        <v>2054</v>
      </c>
    </row>
    <row r="90" spans="2:14" x14ac:dyDescent="0.25">
      <c r="M90" s="60" t="s">
        <v>185</v>
      </c>
      <c r="N90">
        <v>2049</v>
      </c>
    </row>
    <row r="91" spans="2:14" x14ac:dyDescent="0.25">
      <c r="M91" s="60" t="s">
        <v>186</v>
      </c>
      <c r="N91">
        <v>2082</v>
      </c>
    </row>
    <row r="92" spans="2:14" x14ac:dyDescent="0.25">
      <c r="M92" t="s">
        <v>187</v>
      </c>
      <c r="N92">
        <v>2060</v>
      </c>
    </row>
    <row r="93" spans="2:14" x14ac:dyDescent="0.25">
      <c r="M93" t="s">
        <v>30</v>
      </c>
      <c r="N93">
        <v>2059</v>
      </c>
    </row>
  </sheetData>
  <phoneticPr fontId="2" type="noConversion"/>
  <conditionalFormatting sqref="N51">
    <cfRule type="duplicateValues" dxfId="5" priority="1"/>
  </conditionalFormatting>
  <conditionalFormatting sqref="N52:N93 N5:N50">
    <cfRule type="duplicateValues" dxfId="4" priority="25"/>
  </conditionalFormatting>
  <dataValidations count="1">
    <dataValidation type="list" allowBlank="1" showInputMessage="1" showErrorMessage="1" promptTitle="Please select school" sqref="B3" xr:uid="{00000000-0002-0000-0100-000000000000}">
      <formula1>$M$4:$M$106</formula1>
    </dataValidation>
  </dataValidations>
  <pageMargins left="0.35433070866141736" right="0.35433070866141736" top="0.39370078740157483" bottom="0.39370078740157483"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7"/>
    <pageSetUpPr fitToPage="1"/>
  </sheetPr>
  <dimension ref="A1:CT177"/>
  <sheetViews>
    <sheetView zoomScale="90" zoomScaleNormal="90" workbookViewId="0">
      <pane xSplit="3" ySplit="4" topLeftCell="D5" activePane="bottomRight" state="frozen"/>
      <selection pane="topRight" activeCell="D1" sqref="D1"/>
      <selection pane="bottomLeft" activeCell="A5" sqref="A5"/>
      <selection pane="bottomRight" activeCell="BX39" sqref="BX39"/>
    </sheetView>
  </sheetViews>
  <sheetFormatPr defaultRowHeight="13" x14ac:dyDescent="0.25"/>
  <cols>
    <col min="1" max="1" width="12" style="60" customWidth="1"/>
    <col min="2" max="2" width="10.54296875" style="142" customWidth="1"/>
    <col min="3" max="3" width="55.7265625" style="60" customWidth="1"/>
    <col min="4" max="30" width="14.453125" style="135" customWidth="1"/>
    <col min="31" max="63" width="14.453125" style="133" customWidth="1"/>
    <col min="64" max="67" width="15.7265625" style="133" customWidth="1"/>
    <col min="68" max="71" width="15.7265625" style="132" customWidth="1"/>
    <col min="72" max="73" width="14.453125" style="132" customWidth="1"/>
    <col min="74" max="74" width="14.453125" style="134" customWidth="1"/>
    <col min="75" max="76" width="14.453125" style="132" customWidth="1"/>
    <col min="77" max="77" width="16.7265625" style="281" customWidth="1"/>
    <col min="78" max="79" width="14.453125" style="132" customWidth="1"/>
    <col min="80" max="80" width="15.7265625" style="298" customWidth="1"/>
    <col min="81" max="81" width="7.26953125" customWidth="1"/>
    <col min="82" max="83" width="16.7265625" customWidth="1"/>
    <col min="84" max="86" width="14.453125" customWidth="1"/>
    <col min="87" max="87" width="14.54296875" customWidth="1"/>
    <col min="88" max="88" width="3.453125" customWidth="1"/>
    <col min="89" max="89" width="14.54296875" customWidth="1"/>
    <col min="90" max="93" width="13.26953125" customWidth="1"/>
    <col min="94" max="94" width="14" bestFit="1" customWidth="1"/>
    <col min="95" max="95" width="13.26953125" customWidth="1"/>
    <col min="96" max="97" width="14" customWidth="1"/>
    <col min="98" max="98" width="11.26953125" bestFit="1" customWidth="1"/>
  </cols>
  <sheetData>
    <row r="1" spans="1:98" s="7" customFormat="1" ht="18" customHeight="1" thickBot="1" x14ac:dyDescent="0.45">
      <c r="A1" s="140"/>
      <c r="B1" s="54" t="s">
        <v>188</v>
      </c>
      <c r="C1" s="140"/>
      <c r="D1" s="141">
        <v>3</v>
      </c>
      <c r="E1" s="141">
        <v>4</v>
      </c>
      <c r="F1" s="141">
        <v>5</v>
      </c>
      <c r="G1" s="141">
        <v>6</v>
      </c>
      <c r="H1" s="141">
        <v>7</v>
      </c>
      <c r="I1" s="141">
        <v>8</v>
      </c>
      <c r="J1" s="141">
        <v>9</v>
      </c>
      <c r="K1" s="141">
        <v>10</v>
      </c>
      <c r="L1" s="141">
        <v>11</v>
      </c>
      <c r="M1" s="141">
        <v>13</v>
      </c>
      <c r="N1" s="141">
        <v>14</v>
      </c>
      <c r="O1" s="228">
        <v>15</v>
      </c>
      <c r="P1" s="141">
        <v>15</v>
      </c>
      <c r="Q1" s="141">
        <v>16</v>
      </c>
      <c r="R1" s="141">
        <v>17</v>
      </c>
      <c r="S1" s="141">
        <v>18</v>
      </c>
      <c r="T1" s="141">
        <v>19</v>
      </c>
      <c r="U1" s="141">
        <v>20</v>
      </c>
      <c r="V1" s="141">
        <v>21</v>
      </c>
      <c r="W1" s="141">
        <v>22</v>
      </c>
      <c r="X1" s="141">
        <v>23</v>
      </c>
      <c r="Y1" s="141">
        <v>24</v>
      </c>
      <c r="Z1" s="141">
        <v>25</v>
      </c>
      <c r="AA1" s="141">
        <v>26</v>
      </c>
      <c r="AB1" s="141">
        <v>27</v>
      </c>
      <c r="AC1" s="141">
        <v>28</v>
      </c>
      <c r="AD1" s="141">
        <v>29</v>
      </c>
      <c r="AE1" s="141">
        <v>30</v>
      </c>
      <c r="AF1" s="141"/>
      <c r="AG1" s="141"/>
      <c r="AH1" s="141">
        <v>31</v>
      </c>
      <c r="AI1" s="141">
        <v>32</v>
      </c>
      <c r="AJ1" s="141">
        <v>33</v>
      </c>
      <c r="AK1" s="141">
        <v>34</v>
      </c>
      <c r="AL1" s="141">
        <v>35</v>
      </c>
      <c r="AM1" s="141">
        <v>36</v>
      </c>
      <c r="AN1" s="141">
        <v>37</v>
      </c>
      <c r="AO1" s="141">
        <v>38</v>
      </c>
      <c r="AP1" s="141">
        <v>39</v>
      </c>
      <c r="AQ1" s="141">
        <v>40</v>
      </c>
      <c r="AR1" s="141">
        <v>41</v>
      </c>
      <c r="AS1" s="141">
        <v>42</v>
      </c>
      <c r="AT1" s="141">
        <v>43</v>
      </c>
      <c r="AU1" s="141">
        <v>44</v>
      </c>
      <c r="AV1" s="141">
        <v>45</v>
      </c>
      <c r="AW1" s="141">
        <v>46</v>
      </c>
      <c r="AX1" s="141">
        <v>47</v>
      </c>
      <c r="AY1" s="141">
        <v>48</v>
      </c>
      <c r="AZ1" s="141">
        <v>49</v>
      </c>
      <c r="BA1" s="141">
        <v>50</v>
      </c>
      <c r="BB1" s="141">
        <v>51</v>
      </c>
      <c r="BC1" s="141">
        <v>52</v>
      </c>
      <c r="BD1" s="141"/>
      <c r="BE1" s="141"/>
      <c r="BF1" s="141">
        <v>53</v>
      </c>
      <c r="BG1" s="141">
        <v>54</v>
      </c>
      <c r="BH1" s="141">
        <v>55</v>
      </c>
      <c r="BI1" s="141">
        <v>56</v>
      </c>
      <c r="BJ1" s="141">
        <v>57</v>
      </c>
      <c r="BK1" s="141">
        <v>58</v>
      </c>
      <c r="BL1" s="141">
        <v>59</v>
      </c>
      <c r="BM1" s="141">
        <v>60</v>
      </c>
      <c r="BN1" s="141">
        <v>61</v>
      </c>
      <c r="BO1" s="141">
        <v>62</v>
      </c>
      <c r="BP1" s="141">
        <v>63</v>
      </c>
      <c r="BQ1" s="141">
        <v>64</v>
      </c>
      <c r="BR1" s="141">
        <v>65</v>
      </c>
      <c r="BS1" s="141">
        <v>66</v>
      </c>
      <c r="BT1" s="141">
        <v>67</v>
      </c>
      <c r="BU1" s="141">
        <v>68</v>
      </c>
      <c r="BV1" s="141">
        <v>69</v>
      </c>
      <c r="BW1" s="141">
        <v>70</v>
      </c>
      <c r="BX1" s="141">
        <v>71</v>
      </c>
      <c r="BY1" s="281">
        <v>72</v>
      </c>
      <c r="BZ1" s="141">
        <v>73</v>
      </c>
      <c r="CA1" s="7">
        <v>74</v>
      </c>
      <c r="CB1" s="300">
        <v>75</v>
      </c>
      <c r="CC1" s="141"/>
      <c r="CD1" s="141">
        <v>81</v>
      </c>
      <c r="CE1" s="141">
        <v>82</v>
      </c>
      <c r="CF1" s="141">
        <v>83</v>
      </c>
      <c r="CG1" s="141">
        <v>84</v>
      </c>
      <c r="CH1" s="141">
        <v>85</v>
      </c>
      <c r="CI1" s="141">
        <v>86</v>
      </c>
      <c r="CJ1" s="141"/>
      <c r="CK1" s="141">
        <v>88</v>
      </c>
      <c r="CL1" s="141">
        <v>89</v>
      </c>
      <c r="CM1" s="141">
        <v>90</v>
      </c>
      <c r="CN1" s="141">
        <v>91</v>
      </c>
      <c r="CO1" s="141">
        <v>92</v>
      </c>
      <c r="CP1" s="141">
        <v>93</v>
      </c>
      <c r="CQ1" s="141">
        <v>94</v>
      </c>
      <c r="CR1" s="141">
        <v>95</v>
      </c>
      <c r="CS1" s="141">
        <v>96</v>
      </c>
    </row>
    <row r="2" spans="1:98" ht="27" hidden="1" customHeight="1" thickBot="1" x14ac:dyDescent="0.3">
      <c r="C2" s="142"/>
      <c r="D2" s="143">
        <v>3</v>
      </c>
      <c r="E2" s="143">
        <v>4</v>
      </c>
      <c r="F2" s="143">
        <v>5</v>
      </c>
      <c r="G2" s="143">
        <v>6</v>
      </c>
      <c r="H2" s="143">
        <v>7</v>
      </c>
      <c r="I2" s="143"/>
      <c r="J2" s="143"/>
      <c r="K2" s="143">
        <v>8</v>
      </c>
      <c r="L2" s="143">
        <v>9</v>
      </c>
      <c r="M2" s="143">
        <v>11</v>
      </c>
      <c r="N2" s="143"/>
      <c r="O2" s="143">
        <v>12</v>
      </c>
      <c r="P2" s="143">
        <v>13</v>
      </c>
      <c r="Q2" s="143">
        <v>14</v>
      </c>
      <c r="R2" s="143">
        <v>15</v>
      </c>
      <c r="S2" s="143">
        <v>16</v>
      </c>
      <c r="T2" s="143">
        <v>17</v>
      </c>
      <c r="U2" s="143">
        <v>18</v>
      </c>
      <c r="V2" s="143">
        <v>19</v>
      </c>
      <c r="W2" s="143">
        <v>20</v>
      </c>
      <c r="X2" s="143">
        <v>21</v>
      </c>
      <c r="Y2" s="143">
        <v>22</v>
      </c>
      <c r="Z2" s="143">
        <v>23</v>
      </c>
      <c r="AA2" s="143">
        <v>24</v>
      </c>
      <c r="AB2" s="143">
        <v>25</v>
      </c>
      <c r="AC2" s="143">
        <v>26</v>
      </c>
      <c r="AD2" s="143">
        <v>27</v>
      </c>
      <c r="AE2" s="119">
        <v>28</v>
      </c>
      <c r="AF2" s="119">
        <v>29</v>
      </c>
      <c r="AG2" s="119">
        <v>30</v>
      </c>
      <c r="AH2" s="119"/>
      <c r="AI2" s="119"/>
      <c r="AJ2" s="119">
        <v>31</v>
      </c>
      <c r="AK2" s="119">
        <v>32</v>
      </c>
      <c r="AL2" s="119">
        <v>33</v>
      </c>
      <c r="AM2" s="119">
        <v>34</v>
      </c>
      <c r="AN2" s="119">
        <v>35</v>
      </c>
      <c r="AO2" s="119">
        <v>36</v>
      </c>
      <c r="AP2" s="119">
        <v>37</v>
      </c>
      <c r="AQ2" s="119">
        <v>38</v>
      </c>
      <c r="AR2" s="119">
        <v>39</v>
      </c>
      <c r="AS2" s="119">
        <v>40</v>
      </c>
      <c r="AT2" s="119">
        <v>41</v>
      </c>
      <c r="AU2" s="119">
        <v>42</v>
      </c>
      <c r="AV2" s="119">
        <v>43</v>
      </c>
      <c r="AW2" s="119">
        <v>44</v>
      </c>
      <c r="AX2" s="119">
        <v>45</v>
      </c>
      <c r="AY2" s="119">
        <v>46</v>
      </c>
      <c r="AZ2" s="119">
        <v>47</v>
      </c>
      <c r="BA2" s="119">
        <v>48</v>
      </c>
      <c r="BB2" s="119">
        <v>49</v>
      </c>
      <c r="BC2" s="119">
        <v>50</v>
      </c>
      <c r="BD2" s="119"/>
      <c r="BE2" s="119"/>
      <c r="BF2" s="119">
        <v>51</v>
      </c>
      <c r="BG2" s="119">
        <v>52</v>
      </c>
      <c r="BH2" s="119">
        <v>53</v>
      </c>
      <c r="BI2" s="119">
        <v>54</v>
      </c>
      <c r="BJ2" s="119">
        <v>55</v>
      </c>
      <c r="BK2" s="119">
        <v>56</v>
      </c>
      <c r="BL2" s="119">
        <v>57</v>
      </c>
      <c r="BM2" s="119">
        <v>58</v>
      </c>
      <c r="BN2" s="119">
        <v>59</v>
      </c>
      <c r="BO2" s="119">
        <v>60</v>
      </c>
      <c r="BP2" s="119">
        <v>61</v>
      </c>
      <c r="BQ2" s="119">
        <v>62</v>
      </c>
      <c r="BR2" s="119">
        <v>63</v>
      </c>
      <c r="BS2" s="119">
        <v>64</v>
      </c>
      <c r="BT2" s="119">
        <v>65</v>
      </c>
      <c r="BU2" s="119">
        <v>66</v>
      </c>
      <c r="BV2" s="119">
        <v>67</v>
      </c>
      <c r="BW2" s="119">
        <v>68</v>
      </c>
      <c r="BX2" s="119">
        <v>69</v>
      </c>
      <c r="BY2" s="265">
        <v>70</v>
      </c>
      <c r="BZ2" s="119">
        <v>71</v>
      </c>
      <c r="CA2" s="119">
        <v>72</v>
      </c>
      <c r="CB2" s="294">
        <v>73</v>
      </c>
      <c r="CC2" s="4"/>
      <c r="CD2" s="4">
        <v>75</v>
      </c>
      <c r="CE2" s="4">
        <v>76</v>
      </c>
      <c r="CF2" s="4">
        <v>77</v>
      </c>
      <c r="CG2" s="4">
        <v>78</v>
      </c>
      <c r="CH2" s="4"/>
      <c r="CI2" s="4">
        <v>79</v>
      </c>
      <c r="CK2" s="4">
        <v>81</v>
      </c>
      <c r="CL2" s="4">
        <v>82</v>
      </c>
      <c r="CM2" s="4">
        <v>83</v>
      </c>
      <c r="CN2" s="4">
        <v>84</v>
      </c>
      <c r="CO2" s="4"/>
      <c r="CP2" s="4">
        <v>85</v>
      </c>
      <c r="CQ2" s="4">
        <v>86</v>
      </c>
      <c r="CR2" s="4">
        <v>87</v>
      </c>
      <c r="CS2" s="4">
        <v>88</v>
      </c>
    </row>
    <row r="3" spans="1:98" ht="15" thickBot="1" x14ac:dyDescent="0.35">
      <c r="D3" s="575" t="s">
        <v>35</v>
      </c>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120">
        <v>3937.36</v>
      </c>
      <c r="AF3" s="121">
        <v>5388.35</v>
      </c>
      <c r="AG3" s="121">
        <v>6073.96</v>
      </c>
      <c r="AH3" s="121">
        <v>539.22540000000004</v>
      </c>
      <c r="AI3" s="121">
        <v>539.22540000000004</v>
      </c>
      <c r="AJ3" s="121">
        <v>902.37720000000002</v>
      </c>
      <c r="AK3" s="121">
        <v>1320.5519999999999</v>
      </c>
      <c r="AL3" s="246">
        <v>258.60809999999998</v>
      </c>
      <c r="AM3" s="246">
        <v>313.6311</v>
      </c>
      <c r="AN3" s="246">
        <v>489.7047</v>
      </c>
      <c r="AO3" s="246">
        <v>533.72310000000004</v>
      </c>
      <c r="AP3" s="246">
        <v>566.73689999999999</v>
      </c>
      <c r="AQ3" s="247">
        <v>748.31280000000004</v>
      </c>
      <c r="AR3" s="248">
        <v>374.15640000000002</v>
      </c>
      <c r="AS3" s="248">
        <v>495.20699999999999</v>
      </c>
      <c r="AT3" s="248">
        <v>693.28980000000001</v>
      </c>
      <c r="AU3" s="248">
        <v>759.31740000000002</v>
      </c>
      <c r="AV3" s="248">
        <v>814.34040000000005</v>
      </c>
      <c r="AW3" s="249">
        <v>1039.9347</v>
      </c>
      <c r="AX3" s="121">
        <v>649.27139999999997</v>
      </c>
      <c r="AY3" s="121">
        <v>1744.2291</v>
      </c>
      <c r="AZ3" s="121">
        <v>1287.5382</v>
      </c>
      <c r="BA3" s="121">
        <v>1953.3164999999999</v>
      </c>
      <c r="BB3" s="121">
        <v>1056.4416000000001</v>
      </c>
      <c r="BC3" s="121">
        <v>1518.6348</v>
      </c>
      <c r="BD3" s="121"/>
      <c r="BE3" s="121">
        <v>151599.37</v>
      </c>
      <c r="BF3" s="121">
        <v>144204.28</v>
      </c>
      <c r="BG3" s="122"/>
      <c r="BH3" s="122"/>
      <c r="BI3" s="121"/>
      <c r="BJ3" s="121"/>
      <c r="BK3" s="122"/>
      <c r="BL3" s="122"/>
      <c r="BM3" s="122"/>
      <c r="BN3" s="122"/>
      <c r="BO3" s="122"/>
      <c r="BP3" s="280">
        <f>BP95</f>
        <v>276889410.32680076</v>
      </c>
      <c r="BQ3" s="123"/>
      <c r="BR3" s="123"/>
      <c r="BS3" s="282">
        <f>BS95</f>
        <v>260999993.48277175</v>
      </c>
      <c r="BT3" s="124"/>
      <c r="BU3" s="123"/>
      <c r="BV3" s="125"/>
      <c r="BW3" s="123"/>
      <c r="BX3" s="280">
        <f>BX95</f>
        <v>934633.12473472697</v>
      </c>
      <c r="BY3" s="285">
        <f>BY95</f>
        <v>277824043.4515354</v>
      </c>
      <c r="BZ3" s="121">
        <v>1.28</v>
      </c>
      <c r="CA3" s="121">
        <v>10.93</v>
      </c>
      <c r="CB3" s="538"/>
      <c r="CD3" s="580" t="s">
        <v>15</v>
      </c>
      <c r="CE3" s="581"/>
      <c r="CF3" s="581"/>
      <c r="CG3" s="581"/>
      <c r="CH3" s="581"/>
      <c r="CI3" s="582"/>
      <c r="CK3" s="577" t="s">
        <v>189</v>
      </c>
      <c r="CL3" s="578"/>
      <c r="CM3" s="578"/>
      <c r="CN3" s="578"/>
      <c r="CO3" s="578"/>
      <c r="CP3" s="578"/>
      <c r="CQ3" s="578"/>
      <c r="CR3" s="578"/>
      <c r="CS3" s="579"/>
    </row>
    <row r="4" spans="1:98" s="5" customFormat="1" ht="52.5" thickBot="1" x14ac:dyDescent="0.35">
      <c r="A4" s="117" t="s">
        <v>190</v>
      </c>
      <c r="B4" s="118" t="s">
        <v>190</v>
      </c>
      <c r="C4" s="215" t="s">
        <v>191</v>
      </c>
      <c r="D4" s="216" t="s">
        <v>192</v>
      </c>
      <c r="E4" s="219" t="s">
        <v>193</v>
      </c>
      <c r="F4" s="209" t="s">
        <v>194</v>
      </c>
      <c r="G4" s="209" t="s">
        <v>195</v>
      </c>
      <c r="H4" s="209" t="s">
        <v>196</v>
      </c>
      <c r="I4" s="209" t="s">
        <v>48</v>
      </c>
      <c r="J4" s="209" t="s">
        <v>50</v>
      </c>
      <c r="K4" s="209" t="s">
        <v>197</v>
      </c>
      <c r="L4" s="209" t="s">
        <v>54</v>
      </c>
      <c r="M4" s="209" t="s">
        <v>198</v>
      </c>
      <c r="N4" s="209" t="s">
        <v>199</v>
      </c>
      <c r="O4" s="209" t="s">
        <v>200</v>
      </c>
      <c r="P4" s="209" t="s">
        <v>201</v>
      </c>
      <c r="Q4" s="209" t="s">
        <v>202</v>
      </c>
      <c r="R4" s="209" t="s">
        <v>203</v>
      </c>
      <c r="S4" s="209" t="s">
        <v>204</v>
      </c>
      <c r="T4" s="209" t="s">
        <v>205</v>
      </c>
      <c r="U4" s="209" t="s">
        <v>206</v>
      </c>
      <c r="V4" s="209" t="s">
        <v>207</v>
      </c>
      <c r="W4" s="209" t="s">
        <v>208</v>
      </c>
      <c r="X4" s="209" t="s">
        <v>209</v>
      </c>
      <c r="Y4" s="209" t="s">
        <v>210</v>
      </c>
      <c r="Z4" s="209" t="s">
        <v>211</v>
      </c>
      <c r="AA4" s="209" t="s">
        <v>212</v>
      </c>
      <c r="AB4" s="209" t="s">
        <v>213</v>
      </c>
      <c r="AC4" s="209" t="s">
        <v>214</v>
      </c>
      <c r="AD4" s="209" t="s">
        <v>215</v>
      </c>
      <c r="AE4" s="126" t="s">
        <v>39</v>
      </c>
      <c r="AF4" s="126" t="s">
        <v>41</v>
      </c>
      <c r="AG4" s="126" t="s">
        <v>43</v>
      </c>
      <c r="AH4" s="235" t="s">
        <v>216</v>
      </c>
      <c r="AI4" s="235" t="s">
        <v>217</v>
      </c>
      <c r="AJ4" s="126" t="s">
        <v>218</v>
      </c>
      <c r="AK4" s="126" t="s">
        <v>219</v>
      </c>
      <c r="AL4" s="235" t="s">
        <v>198</v>
      </c>
      <c r="AM4" s="235" t="s">
        <v>199</v>
      </c>
      <c r="AN4" s="126" t="s">
        <v>200</v>
      </c>
      <c r="AO4" s="126" t="s">
        <v>201</v>
      </c>
      <c r="AP4" s="126" t="s">
        <v>202</v>
      </c>
      <c r="AQ4" s="126" t="s">
        <v>203</v>
      </c>
      <c r="AR4" s="126" t="s">
        <v>204</v>
      </c>
      <c r="AS4" s="126" t="s">
        <v>205</v>
      </c>
      <c r="AT4" s="126" t="s">
        <v>206</v>
      </c>
      <c r="AU4" s="245" t="s">
        <v>207</v>
      </c>
      <c r="AV4" s="126" t="s">
        <v>208</v>
      </c>
      <c r="AW4" s="126" t="s">
        <v>209</v>
      </c>
      <c r="AX4" s="126" t="s">
        <v>220</v>
      </c>
      <c r="AY4" s="126" t="s">
        <v>221</v>
      </c>
      <c r="AZ4" s="126" t="s">
        <v>222</v>
      </c>
      <c r="BA4" s="126" t="s">
        <v>223</v>
      </c>
      <c r="BB4" s="126" t="s">
        <v>224</v>
      </c>
      <c r="BC4" s="126" t="s">
        <v>225</v>
      </c>
      <c r="BD4" s="235" t="s">
        <v>226</v>
      </c>
      <c r="BE4" s="235" t="s">
        <v>227</v>
      </c>
      <c r="BF4" s="126" t="s">
        <v>228</v>
      </c>
      <c r="BG4" s="235" t="s">
        <v>229</v>
      </c>
      <c r="BH4" s="235" t="s">
        <v>230</v>
      </c>
      <c r="BI4" s="126" t="s">
        <v>231</v>
      </c>
      <c r="BJ4" s="126" t="s">
        <v>105</v>
      </c>
      <c r="BK4" s="126" t="s">
        <v>232</v>
      </c>
      <c r="BL4" s="126" t="s">
        <v>45</v>
      </c>
      <c r="BM4" s="235" t="s">
        <v>92</v>
      </c>
      <c r="BN4" s="235" t="s">
        <v>233</v>
      </c>
      <c r="BO4" s="235" t="s">
        <v>234</v>
      </c>
      <c r="BP4" s="532" t="s">
        <v>235</v>
      </c>
      <c r="BQ4" s="532" t="s">
        <v>236</v>
      </c>
      <c r="BR4" s="532" t="s">
        <v>237</v>
      </c>
      <c r="BS4" s="269" t="s">
        <v>238</v>
      </c>
      <c r="BT4" s="269" t="s">
        <v>239</v>
      </c>
      <c r="BU4" s="269" t="s">
        <v>240</v>
      </c>
      <c r="BV4" s="273" t="s">
        <v>241</v>
      </c>
      <c r="BW4" s="269" t="s">
        <v>242</v>
      </c>
      <c r="BX4" s="269" t="s">
        <v>243</v>
      </c>
      <c r="BY4" s="286" t="s">
        <v>127</v>
      </c>
      <c r="BZ4" s="269" t="s">
        <v>244</v>
      </c>
      <c r="CA4" s="269" t="s">
        <v>245</v>
      </c>
      <c r="CB4" s="537" t="s">
        <v>246</v>
      </c>
      <c r="CD4" s="152" t="s">
        <v>247</v>
      </c>
      <c r="CE4" s="153" t="s">
        <v>248</v>
      </c>
      <c r="CF4" s="153" t="s">
        <v>149</v>
      </c>
      <c r="CG4" s="563" t="s">
        <v>249</v>
      </c>
      <c r="CH4" s="569" t="s">
        <v>151</v>
      </c>
      <c r="CI4" s="568" t="s">
        <v>250</v>
      </c>
      <c r="CK4" s="149" t="s">
        <v>251</v>
      </c>
      <c r="CL4" s="150" t="s">
        <v>252</v>
      </c>
      <c r="CM4" s="150" t="s">
        <v>253</v>
      </c>
      <c r="CN4" s="151" t="s">
        <v>254</v>
      </c>
      <c r="CO4" s="151" t="s">
        <v>255</v>
      </c>
      <c r="CP4" s="151" t="s">
        <v>256</v>
      </c>
      <c r="CQ4" s="150" t="s">
        <v>257</v>
      </c>
      <c r="CR4" s="535" t="s">
        <v>258</v>
      </c>
      <c r="CS4" s="536" t="s">
        <v>259</v>
      </c>
    </row>
    <row r="5" spans="1:98" ht="14" x14ac:dyDescent="0.25">
      <c r="A5" s="60">
        <v>3122001</v>
      </c>
      <c r="B5" s="144">
        <v>2001</v>
      </c>
      <c r="C5" s="210" t="s">
        <v>38</v>
      </c>
      <c r="D5" s="217">
        <v>549</v>
      </c>
      <c r="E5" s="223">
        <v>549</v>
      </c>
      <c r="F5" s="223">
        <v>0</v>
      </c>
      <c r="G5" s="223">
        <v>0</v>
      </c>
      <c r="H5" s="223">
        <v>0</v>
      </c>
      <c r="I5" s="223">
        <v>165.00000000000017</v>
      </c>
      <c r="J5" s="220">
        <v>0</v>
      </c>
      <c r="K5" s="226">
        <v>169.00000000000003</v>
      </c>
      <c r="L5" s="223">
        <v>0</v>
      </c>
      <c r="M5" s="223">
        <v>117.00000000000018</v>
      </c>
      <c r="N5" s="223">
        <v>169.99999999999986</v>
      </c>
      <c r="O5" s="223">
        <v>80.999999999999801</v>
      </c>
      <c r="P5" s="223">
        <v>5.0000000000000027</v>
      </c>
      <c r="Q5" s="223">
        <v>16.999999999999986</v>
      </c>
      <c r="R5" s="223">
        <v>0</v>
      </c>
      <c r="S5" s="223">
        <v>0</v>
      </c>
      <c r="T5" s="223">
        <v>0</v>
      </c>
      <c r="U5" s="223">
        <v>0</v>
      </c>
      <c r="V5" s="223">
        <v>0</v>
      </c>
      <c r="W5" s="223">
        <v>0</v>
      </c>
      <c r="X5" s="223">
        <v>0</v>
      </c>
      <c r="Y5" s="223">
        <v>165.9767441860466</v>
      </c>
      <c r="Z5" s="223">
        <v>0</v>
      </c>
      <c r="AA5" s="223">
        <v>184.48210963234962</v>
      </c>
      <c r="AB5" s="223">
        <v>0</v>
      </c>
      <c r="AC5" s="223">
        <v>4.0600000000000094</v>
      </c>
      <c r="AD5" s="220">
        <v>0</v>
      </c>
      <c r="AE5" s="229">
        <v>2161610.64</v>
      </c>
      <c r="AF5" s="138">
        <v>0</v>
      </c>
      <c r="AG5" s="232">
        <v>0</v>
      </c>
      <c r="AH5" s="239">
        <v>88972.191000000093</v>
      </c>
      <c r="AI5" s="236">
        <v>0</v>
      </c>
      <c r="AJ5" s="242">
        <v>152501.74680000002</v>
      </c>
      <c r="AK5" s="250">
        <v>0</v>
      </c>
      <c r="AL5" s="258">
        <v>30257.147700000045</v>
      </c>
      <c r="AM5" s="255">
        <v>53317.286999999953</v>
      </c>
      <c r="AN5" s="242">
        <v>39666.080699999904</v>
      </c>
      <c r="AO5" s="139">
        <v>2668.6155000000017</v>
      </c>
      <c r="AP5" s="139">
        <v>9634.5272999999925</v>
      </c>
      <c r="AQ5" s="139">
        <v>0</v>
      </c>
      <c r="AR5" s="139">
        <v>0</v>
      </c>
      <c r="AS5" s="139">
        <v>0</v>
      </c>
      <c r="AT5" s="139">
        <v>0</v>
      </c>
      <c r="AU5" s="139">
        <v>0</v>
      </c>
      <c r="AV5" s="139">
        <v>0</v>
      </c>
      <c r="AW5" s="139">
        <v>0</v>
      </c>
      <c r="AX5" s="139">
        <v>107763.95306511634</v>
      </c>
      <c r="AY5" s="139">
        <v>0</v>
      </c>
      <c r="AZ5" s="139">
        <v>237527.76336823808</v>
      </c>
      <c r="BA5" s="129">
        <v>0</v>
      </c>
      <c r="BB5" s="139">
        <v>4289.1528960000105</v>
      </c>
      <c r="BC5" s="250">
        <v>0</v>
      </c>
      <c r="BD5" s="252"/>
      <c r="BE5" s="252">
        <v>151599.37</v>
      </c>
      <c r="BF5" s="253"/>
      <c r="BG5" s="258">
        <v>12408</v>
      </c>
      <c r="BH5" s="255">
        <v>0</v>
      </c>
      <c r="BI5" s="242"/>
      <c r="BJ5" s="139"/>
      <c r="BK5" s="139"/>
      <c r="BL5" s="250">
        <v>2161610.64</v>
      </c>
      <c r="BM5" s="258">
        <v>726598.4653293544</v>
      </c>
      <c r="BN5" s="258">
        <v>164007.37</v>
      </c>
      <c r="BO5" s="258">
        <v>437095.73706742376</v>
      </c>
      <c r="BP5" s="136">
        <v>3052216.4753293544</v>
      </c>
      <c r="BQ5" s="533">
        <v>3052067.1473293547</v>
      </c>
      <c r="BR5" s="266">
        <v>0</v>
      </c>
      <c r="BS5" s="533">
        <v>2888059.7773293545</v>
      </c>
      <c r="BT5" s="270">
        <v>5260.5824723667656</v>
      </c>
      <c r="BU5" s="270">
        <v>5222.81573424408</v>
      </c>
      <c r="BV5" s="274">
        <v>7.2311067524483087E-3</v>
      </c>
      <c r="BW5" s="274">
        <v>0</v>
      </c>
      <c r="BX5" s="277">
        <v>0</v>
      </c>
      <c r="BY5" s="287">
        <v>3052216.4753293544</v>
      </c>
      <c r="BZ5" s="255">
        <v>0</v>
      </c>
      <c r="CA5" s="262">
        <v>0</v>
      </c>
      <c r="CB5" s="295">
        <v>3052216.4753293544</v>
      </c>
      <c r="CC5" s="2"/>
      <c r="CD5" s="520">
        <f>VLOOKUP(B5,'EYSFF (Universal)'!$A$10:$AC$66,29,0)</f>
        <v>193616.74486956524</v>
      </c>
      <c r="CE5" s="523">
        <f>VLOOKUP(B5,'EYSFF (Additional)'!$A$11:$AB$57,28,0)</f>
        <v>35513.389899999995</v>
      </c>
      <c r="CF5" s="517"/>
      <c r="CG5" s="154"/>
      <c r="CH5" s="564">
        <v>0</v>
      </c>
      <c r="CI5" s="113">
        <v>163653.66666666666</v>
      </c>
      <c r="CK5" s="546"/>
      <c r="CL5" s="554"/>
      <c r="CM5" s="557"/>
      <c r="CN5" s="560"/>
      <c r="CO5" s="558"/>
      <c r="CP5" s="570"/>
      <c r="CQ5" s="546"/>
      <c r="CR5" s="543"/>
      <c r="CS5" s="113"/>
      <c r="CT5" s="2"/>
    </row>
    <row r="6" spans="1:98" ht="14" x14ac:dyDescent="0.25">
      <c r="A6" s="60">
        <v>3122002</v>
      </c>
      <c r="B6" s="145">
        <v>2002</v>
      </c>
      <c r="C6" s="211" t="s">
        <v>47</v>
      </c>
      <c r="D6" s="217">
        <v>323</v>
      </c>
      <c r="E6" s="224">
        <v>323</v>
      </c>
      <c r="F6" s="224">
        <v>0</v>
      </c>
      <c r="G6" s="224">
        <v>0</v>
      </c>
      <c r="H6" s="224">
        <v>0</v>
      </c>
      <c r="I6" s="224">
        <v>92.999999999999929</v>
      </c>
      <c r="J6" s="221">
        <v>0</v>
      </c>
      <c r="K6" s="214">
        <v>98.999999999999957</v>
      </c>
      <c r="L6" s="224">
        <v>0</v>
      </c>
      <c r="M6" s="224">
        <v>110.34161490683226</v>
      </c>
      <c r="N6" s="224">
        <v>141.43788819875778</v>
      </c>
      <c r="O6" s="224">
        <v>0</v>
      </c>
      <c r="P6" s="224">
        <v>1.0031055900621115</v>
      </c>
      <c r="Q6" s="224">
        <v>10.031055900621114</v>
      </c>
      <c r="R6" s="224">
        <v>0</v>
      </c>
      <c r="S6" s="224">
        <v>0</v>
      </c>
      <c r="T6" s="224">
        <v>0</v>
      </c>
      <c r="U6" s="224">
        <v>0</v>
      </c>
      <c r="V6" s="224">
        <v>0</v>
      </c>
      <c r="W6" s="224">
        <v>0</v>
      </c>
      <c r="X6" s="224">
        <v>0</v>
      </c>
      <c r="Y6" s="224">
        <v>133</v>
      </c>
      <c r="Z6" s="224">
        <v>0</v>
      </c>
      <c r="AA6" s="224">
        <v>85.572166551122834</v>
      </c>
      <c r="AB6" s="224">
        <v>0</v>
      </c>
      <c r="AC6" s="224">
        <v>20.6200000000001</v>
      </c>
      <c r="AD6" s="221">
        <v>0</v>
      </c>
      <c r="AE6" s="230">
        <v>1271767.28</v>
      </c>
      <c r="AF6" s="128">
        <v>0</v>
      </c>
      <c r="AG6" s="233">
        <v>0</v>
      </c>
      <c r="AH6" s="240">
        <v>50147.962199999965</v>
      </c>
      <c r="AI6" s="237">
        <v>0</v>
      </c>
      <c r="AJ6" s="243">
        <v>89335.342799999969</v>
      </c>
      <c r="AK6" s="251">
        <v>0</v>
      </c>
      <c r="AL6" s="259">
        <v>28535.235381987564</v>
      </c>
      <c r="AM6" s="256">
        <v>44359.320457453417</v>
      </c>
      <c r="AN6" s="243">
        <v>0</v>
      </c>
      <c r="AO6" s="129">
        <v>535.3806251552794</v>
      </c>
      <c r="AP6" s="129">
        <v>5684.9695248447179</v>
      </c>
      <c r="AQ6" s="129">
        <v>0</v>
      </c>
      <c r="AR6" s="129">
        <v>0</v>
      </c>
      <c r="AS6" s="129">
        <v>0</v>
      </c>
      <c r="AT6" s="129">
        <v>0</v>
      </c>
      <c r="AU6" s="129">
        <v>0</v>
      </c>
      <c r="AV6" s="129">
        <v>0</v>
      </c>
      <c r="AW6" s="129">
        <v>0</v>
      </c>
      <c r="AX6" s="129">
        <v>86353.0962</v>
      </c>
      <c r="AY6" s="129">
        <v>0</v>
      </c>
      <c r="AZ6" s="129">
        <v>110177.4332913329</v>
      </c>
      <c r="BA6" s="129">
        <v>0</v>
      </c>
      <c r="BB6" s="129">
        <v>21783.825792000109</v>
      </c>
      <c r="BC6" s="251">
        <v>0</v>
      </c>
      <c r="BD6" s="252"/>
      <c r="BE6" s="252">
        <v>151599.37</v>
      </c>
      <c r="BF6" s="254"/>
      <c r="BG6" s="259">
        <v>15014</v>
      </c>
      <c r="BH6" s="256">
        <v>0</v>
      </c>
      <c r="BI6" s="243"/>
      <c r="BJ6" s="129"/>
      <c r="BK6" s="129"/>
      <c r="BL6" s="251">
        <v>1271767.28</v>
      </c>
      <c r="BM6" s="259">
        <v>436912.56627277395</v>
      </c>
      <c r="BN6" s="259">
        <v>166613.37</v>
      </c>
      <c r="BO6" s="259">
        <v>234683.28666166138</v>
      </c>
      <c r="BP6" s="136">
        <v>1875293.2162727742</v>
      </c>
      <c r="BQ6" s="136">
        <v>1875205.360272774</v>
      </c>
      <c r="BR6" s="267">
        <v>0</v>
      </c>
      <c r="BS6" s="136">
        <v>1708591.9902727739</v>
      </c>
      <c r="BT6" s="271">
        <v>5289.7584838166376</v>
      </c>
      <c r="BU6" s="271">
        <v>5304.1718279365077</v>
      </c>
      <c r="BV6" s="275">
        <v>-2.7173599550370034E-3</v>
      </c>
      <c r="BW6" s="275">
        <v>7.7173599550370035E-3</v>
      </c>
      <c r="BX6" s="278">
        <v>13133.891652835522</v>
      </c>
      <c r="BY6" s="288">
        <v>1888427.1079256097</v>
      </c>
      <c r="BZ6" s="256">
        <v>0</v>
      </c>
      <c r="CA6" s="263">
        <v>0</v>
      </c>
      <c r="CB6" s="296">
        <v>1888427.1079256097</v>
      </c>
      <c r="CC6" s="2"/>
      <c r="CD6" s="521">
        <f>VLOOKUP(B6,'EYSFF (Universal)'!$A$10:$AC$66,29,0)</f>
        <v>149114.62414285715</v>
      </c>
      <c r="CE6" s="523">
        <f>VLOOKUP(B6,'EYSFF (Additional)'!$A$11:$AB$57,28,0)</f>
        <v>25742.43</v>
      </c>
      <c r="CF6" s="514"/>
      <c r="CG6" s="100"/>
      <c r="CH6" s="565">
        <v>0</v>
      </c>
      <c r="CI6" s="114">
        <v>28246.333333333332</v>
      </c>
      <c r="CK6" s="111"/>
      <c r="CL6" s="111"/>
      <c r="CM6" s="556"/>
      <c r="CN6" s="560"/>
      <c r="CO6" s="2"/>
      <c r="CP6" s="571"/>
      <c r="CQ6" s="547"/>
      <c r="CR6" s="544"/>
      <c r="CS6" s="114"/>
      <c r="CT6" s="2"/>
    </row>
    <row r="7" spans="1:98" ht="14" x14ac:dyDescent="0.25">
      <c r="A7" s="60">
        <v>3122003</v>
      </c>
      <c r="B7" s="146">
        <v>2003</v>
      </c>
      <c r="C7" s="531" t="s">
        <v>46</v>
      </c>
      <c r="D7" s="217">
        <v>203</v>
      </c>
      <c r="E7" s="224">
        <v>203</v>
      </c>
      <c r="F7" s="224">
        <v>0</v>
      </c>
      <c r="G7" s="224">
        <v>0</v>
      </c>
      <c r="H7" s="224">
        <v>0</v>
      </c>
      <c r="I7" s="224">
        <v>34.999999999999943</v>
      </c>
      <c r="J7" s="221">
        <v>0</v>
      </c>
      <c r="K7" s="214">
        <v>34.999999999999943</v>
      </c>
      <c r="L7" s="224">
        <v>0</v>
      </c>
      <c r="M7" s="224">
        <v>62.306930693069319</v>
      </c>
      <c r="N7" s="224">
        <v>0</v>
      </c>
      <c r="O7" s="224">
        <v>1.0049504950495047</v>
      </c>
      <c r="P7" s="224">
        <v>0</v>
      </c>
      <c r="Q7" s="224">
        <v>0</v>
      </c>
      <c r="R7" s="224">
        <v>0</v>
      </c>
      <c r="S7" s="224">
        <v>0</v>
      </c>
      <c r="T7" s="224">
        <v>0</v>
      </c>
      <c r="U7" s="224">
        <v>0</v>
      </c>
      <c r="V7" s="224">
        <v>0</v>
      </c>
      <c r="W7" s="224">
        <v>0</v>
      </c>
      <c r="X7" s="224">
        <v>0</v>
      </c>
      <c r="Y7" s="224">
        <v>72.751445086705118</v>
      </c>
      <c r="Z7" s="224">
        <v>0</v>
      </c>
      <c r="AA7" s="224">
        <v>62.320164609053457</v>
      </c>
      <c r="AB7" s="224">
        <v>0</v>
      </c>
      <c r="AC7" s="224">
        <v>6.8200000000000029</v>
      </c>
      <c r="AD7" s="221">
        <v>0</v>
      </c>
      <c r="AE7" s="230">
        <v>799284.08000000007</v>
      </c>
      <c r="AF7" s="128">
        <v>0</v>
      </c>
      <c r="AG7" s="233">
        <v>0</v>
      </c>
      <c r="AH7" s="240">
        <v>18872.88899999997</v>
      </c>
      <c r="AI7" s="237">
        <v>0</v>
      </c>
      <c r="AJ7" s="243">
        <v>31583.20199999995</v>
      </c>
      <c r="AK7" s="251">
        <v>0</v>
      </c>
      <c r="AL7" s="259">
        <v>16113.076963366339</v>
      </c>
      <c r="AM7" s="256">
        <v>0</v>
      </c>
      <c r="AN7" s="243">
        <v>492.1289806930692</v>
      </c>
      <c r="AO7" s="129">
        <v>0</v>
      </c>
      <c r="AP7" s="129">
        <v>0</v>
      </c>
      <c r="AQ7" s="129">
        <v>0</v>
      </c>
      <c r="AR7" s="129">
        <v>0</v>
      </c>
      <c r="AS7" s="129">
        <v>0</v>
      </c>
      <c r="AT7" s="129">
        <v>0</v>
      </c>
      <c r="AU7" s="129">
        <v>0</v>
      </c>
      <c r="AV7" s="129">
        <v>0</v>
      </c>
      <c r="AW7" s="129">
        <v>0</v>
      </c>
      <c r="AX7" s="129">
        <v>47235.432603468151</v>
      </c>
      <c r="AY7" s="129">
        <v>0</v>
      </c>
      <c r="AZ7" s="129">
        <v>80239.592564444392</v>
      </c>
      <c r="BA7" s="129">
        <v>0</v>
      </c>
      <c r="BB7" s="129">
        <v>7204.9317120000042</v>
      </c>
      <c r="BC7" s="251">
        <v>0</v>
      </c>
      <c r="BD7" s="252"/>
      <c r="BE7" s="252">
        <v>151599.37</v>
      </c>
      <c r="BF7" s="254"/>
      <c r="BG7" s="259">
        <v>26995.200000000001</v>
      </c>
      <c r="BH7" s="256">
        <v>653</v>
      </c>
      <c r="BI7" s="243"/>
      <c r="BJ7" s="129"/>
      <c r="BK7" s="129"/>
      <c r="BL7" s="251">
        <v>799284.08000000007</v>
      </c>
      <c r="BM7" s="259">
        <v>201741.25382397184</v>
      </c>
      <c r="BN7" s="259">
        <v>179247.57</v>
      </c>
      <c r="BO7" s="259">
        <v>132790.29186356443</v>
      </c>
      <c r="BP7" s="136">
        <v>1180272.903823972</v>
      </c>
      <c r="BQ7" s="136">
        <v>1180217.687823972</v>
      </c>
      <c r="BR7" s="267">
        <v>0</v>
      </c>
      <c r="BS7" s="136">
        <v>1000970.117823972</v>
      </c>
      <c r="BT7" s="271">
        <v>4930.8872799210449</v>
      </c>
      <c r="BU7" s="271">
        <v>4836.3755989528809</v>
      </c>
      <c r="BV7" s="275">
        <v>1.9541840585877292E-2</v>
      </c>
      <c r="BW7" s="275">
        <v>0</v>
      </c>
      <c r="BX7" s="278">
        <v>0</v>
      </c>
      <c r="BY7" s="288">
        <v>1180272.903823972</v>
      </c>
      <c r="BZ7" s="256">
        <v>-259.84000000000003</v>
      </c>
      <c r="CA7" s="263">
        <v>-2218.79</v>
      </c>
      <c r="CB7" s="296">
        <v>1177794.2738239719</v>
      </c>
      <c r="CC7" s="2"/>
      <c r="CD7" s="521">
        <f>VLOOKUP(B7,'EYSFF (Universal)'!$A$10:$AC$66,29,0)</f>
        <v>76352.135999999999</v>
      </c>
      <c r="CE7" s="523"/>
      <c r="CF7" s="514"/>
      <c r="CG7" s="100"/>
      <c r="CH7" s="565">
        <v>0</v>
      </c>
      <c r="CI7" s="114">
        <v>25250</v>
      </c>
      <c r="CK7" s="111">
        <v>50925</v>
      </c>
      <c r="CL7" s="111">
        <v>0</v>
      </c>
      <c r="CM7" s="556">
        <v>7590</v>
      </c>
      <c r="CN7" s="561">
        <v>7362</v>
      </c>
      <c r="CO7" s="2">
        <v>17403.428571428572</v>
      </c>
      <c r="CP7" s="571">
        <v>26678.85</v>
      </c>
      <c r="CQ7" s="547">
        <v>6353.5</v>
      </c>
      <c r="CR7" s="544"/>
      <c r="CS7" s="114"/>
      <c r="CT7" s="2"/>
    </row>
    <row r="8" spans="1:98" ht="14" x14ac:dyDescent="0.25">
      <c r="A8" s="60">
        <v>3122004</v>
      </c>
      <c r="B8" s="145">
        <v>2004</v>
      </c>
      <c r="C8" s="211" t="s">
        <v>171</v>
      </c>
      <c r="D8" s="217">
        <v>600</v>
      </c>
      <c r="E8" s="224">
        <v>600</v>
      </c>
      <c r="F8" s="224">
        <v>0</v>
      </c>
      <c r="G8" s="224">
        <v>0</v>
      </c>
      <c r="H8" s="224">
        <v>0</v>
      </c>
      <c r="I8" s="224">
        <v>34.000000000000021</v>
      </c>
      <c r="J8" s="221">
        <v>0</v>
      </c>
      <c r="K8" s="214">
        <v>34.000000000000021</v>
      </c>
      <c r="L8" s="224">
        <v>0</v>
      </c>
      <c r="M8" s="224">
        <v>22.999999999999982</v>
      </c>
      <c r="N8" s="224">
        <v>7.0000000000000204</v>
      </c>
      <c r="O8" s="224">
        <v>0</v>
      </c>
      <c r="P8" s="224">
        <v>0</v>
      </c>
      <c r="Q8" s="224">
        <v>0</v>
      </c>
      <c r="R8" s="224">
        <v>0</v>
      </c>
      <c r="S8" s="224">
        <v>0</v>
      </c>
      <c r="T8" s="224">
        <v>0</v>
      </c>
      <c r="U8" s="224">
        <v>0</v>
      </c>
      <c r="V8" s="224">
        <v>0</v>
      </c>
      <c r="W8" s="224">
        <v>0</v>
      </c>
      <c r="X8" s="224">
        <v>0</v>
      </c>
      <c r="Y8" s="224">
        <v>91.40625</v>
      </c>
      <c r="Z8" s="224">
        <v>0</v>
      </c>
      <c r="AA8" s="224">
        <v>118.85473397570175</v>
      </c>
      <c r="AB8" s="224">
        <v>0</v>
      </c>
      <c r="AC8" s="224">
        <v>0</v>
      </c>
      <c r="AD8" s="221">
        <v>0</v>
      </c>
      <c r="AE8" s="230">
        <v>2362416</v>
      </c>
      <c r="AF8" s="128">
        <v>0</v>
      </c>
      <c r="AG8" s="233">
        <v>0</v>
      </c>
      <c r="AH8" s="240">
        <v>18333.663600000014</v>
      </c>
      <c r="AI8" s="237">
        <v>0</v>
      </c>
      <c r="AJ8" s="243">
        <v>30680.82480000002</v>
      </c>
      <c r="AK8" s="251">
        <v>0</v>
      </c>
      <c r="AL8" s="259">
        <v>5947.986299999995</v>
      </c>
      <c r="AM8" s="256">
        <v>2195.4177000000063</v>
      </c>
      <c r="AN8" s="243">
        <v>0</v>
      </c>
      <c r="AO8" s="129">
        <v>0</v>
      </c>
      <c r="AP8" s="129">
        <v>0</v>
      </c>
      <c r="AQ8" s="129">
        <v>0</v>
      </c>
      <c r="AR8" s="129">
        <v>0</v>
      </c>
      <c r="AS8" s="129">
        <v>0</v>
      </c>
      <c r="AT8" s="129">
        <v>0</v>
      </c>
      <c r="AU8" s="129">
        <v>0</v>
      </c>
      <c r="AV8" s="129">
        <v>0</v>
      </c>
      <c r="AW8" s="129">
        <v>0</v>
      </c>
      <c r="AX8" s="129">
        <v>59347.463906249999</v>
      </c>
      <c r="AY8" s="129">
        <v>0</v>
      </c>
      <c r="AZ8" s="129">
        <v>153030.01024455388</v>
      </c>
      <c r="BA8" s="129">
        <v>0</v>
      </c>
      <c r="BB8" s="129">
        <v>0</v>
      </c>
      <c r="BC8" s="251">
        <v>0</v>
      </c>
      <c r="BD8" s="252"/>
      <c r="BE8" s="252">
        <v>151599.37</v>
      </c>
      <c r="BF8" s="254"/>
      <c r="BG8" s="259">
        <v>47055.4</v>
      </c>
      <c r="BH8" s="256">
        <v>8696.3499999999985</v>
      </c>
      <c r="BI8" s="243"/>
      <c r="BJ8" s="129"/>
      <c r="BK8" s="129"/>
      <c r="BL8" s="251">
        <v>2362416</v>
      </c>
      <c r="BM8" s="259">
        <v>269535.36655080388</v>
      </c>
      <c r="BN8" s="259">
        <v>207351.12</v>
      </c>
      <c r="BO8" s="259">
        <v>251975.26527988064</v>
      </c>
      <c r="BP8" s="136">
        <v>2839302.4865508042</v>
      </c>
      <c r="BQ8" s="136">
        <v>2839139.2865508045</v>
      </c>
      <c r="BR8" s="267">
        <v>0</v>
      </c>
      <c r="BS8" s="136">
        <v>2631788.1665508039</v>
      </c>
      <c r="BT8" s="271">
        <v>4386.3136109180068</v>
      </c>
      <c r="BU8" s="271">
        <v>4419.2225513513513</v>
      </c>
      <c r="BV8" s="275">
        <v>-7.446771474154716E-3</v>
      </c>
      <c r="BW8" s="275">
        <v>1.2446771474154716E-2</v>
      </c>
      <c r="BX8" s="278">
        <v>32839.831914060778</v>
      </c>
      <c r="BY8" s="288">
        <v>2872142.318464865</v>
      </c>
      <c r="BZ8" s="256">
        <v>-768</v>
      </c>
      <c r="CA8" s="263">
        <v>-6558</v>
      </c>
      <c r="CB8" s="296">
        <v>2864816.318464865</v>
      </c>
      <c r="CC8" s="2"/>
      <c r="CD8" s="521">
        <f>VLOOKUP(B8,'EYSFF (Universal)'!$A$10:$AC$66,29,0)</f>
        <v>139332.78067142857</v>
      </c>
      <c r="CE8" s="523">
        <f>VLOOKUP(B8,'EYSFF (Additional)'!$A$11:$AB$57,28,0)</f>
        <v>88560.588885714285</v>
      </c>
      <c r="CF8" s="514"/>
      <c r="CG8" s="100"/>
      <c r="CH8" s="565">
        <v>0</v>
      </c>
      <c r="CI8" s="114">
        <v>68747.333333333328</v>
      </c>
      <c r="CK8" s="111">
        <v>59655</v>
      </c>
      <c r="CL8" s="111">
        <v>5695</v>
      </c>
      <c r="CM8" s="556">
        <v>7590</v>
      </c>
      <c r="CN8" s="561">
        <v>8817</v>
      </c>
      <c r="CO8" s="2">
        <v>45142.28571428571</v>
      </c>
      <c r="CP8" s="571">
        <v>92294.399999999994</v>
      </c>
      <c r="CQ8" s="547">
        <v>11090.88</v>
      </c>
      <c r="CR8" s="544"/>
      <c r="CS8" s="114"/>
      <c r="CT8" s="2"/>
    </row>
    <row r="9" spans="1:98" ht="14.15" customHeight="1" x14ac:dyDescent="0.25">
      <c r="A9" s="60">
        <v>3122010</v>
      </c>
      <c r="B9" s="145">
        <v>2010</v>
      </c>
      <c r="C9" s="211" t="s">
        <v>55</v>
      </c>
      <c r="D9" s="217">
        <v>590</v>
      </c>
      <c r="E9" s="224">
        <v>590</v>
      </c>
      <c r="F9" s="224">
        <v>0</v>
      </c>
      <c r="G9" s="224">
        <v>0</v>
      </c>
      <c r="H9" s="224">
        <v>0</v>
      </c>
      <c r="I9" s="224">
        <v>183.99999999999997</v>
      </c>
      <c r="J9" s="221">
        <v>0</v>
      </c>
      <c r="K9" s="214">
        <v>184.99999999999983</v>
      </c>
      <c r="L9" s="224">
        <v>0</v>
      </c>
      <c r="M9" s="224">
        <v>201.99999999999989</v>
      </c>
      <c r="N9" s="224">
        <v>200.00000000000023</v>
      </c>
      <c r="O9" s="224">
        <v>77.999999999999716</v>
      </c>
      <c r="P9" s="224">
        <v>9.0000000000000053</v>
      </c>
      <c r="Q9" s="224">
        <v>1.0000000000000011</v>
      </c>
      <c r="R9" s="224">
        <v>1.0000000000000011</v>
      </c>
      <c r="S9" s="224">
        <v>0</v>
      </c>
      <c r="T9" s="224">
        <v>0</v>
      </c>
      <c r="U9" s="224">
        <v>0</v>
      </c>
      <c r="V9" s="224">
        <v>0</v>
      </c>
      <c r="W9" s="224">
        <v>0</v>
      </c>
      <c r="X9" s="224">
        <v>0</v>
      </c>
      <c r="Y9" s="224">
        <v>125.75697211155394</v>
      </c>
      <c r="Z9" s="224">
        <v>0</v>
      </c>
      <c r="AA9" s="224">
        <v>127.04042242729776</v>
      </c>
      <c r="AB9" s="224">
        <v>0</v>
      </c>
      <c r="AC9" s="224">
        <v>17.600000000000016</v>
      </c>
      <c r="AD9" s="221">
        <v>0</v>
      </c>
      <c r="AE9" s="230">
        <v>2323042.4</v>
      </c>
      <c r="AF9" s="128">
        <v>0</v>
      </c>
      <c r="AG9" s="233">
        <v>0</v>
      </c>
      <c r="AH9" s="240">
        <v>99217.473599999998</v>
      </c>
      <c r="AI9" s="237">
        <v>0</v>
      </c>
      <c r="AJ9" s="243">
        <v>166939.78199999986</v>
      </c>
      <c r="AK9" s="251">
        <v>0</v>
      </c>
      <c r="AL9" s="259">
        <v>52238.836199999969</v>
      </c>
      <c r="AM9" s="256">
        <v>62726.220000000074</v>
      </c>
      <c r="AN9" s="243">
        <v>38196.966599999862</v>
      </c>
      <c r="AO9" s="129">
        <v>4803.5079000000032</v>
      </c>
      <c r="AP9" s="129">
        <v>566.73690000000067</v>
      </c>
      <c r="AQ9" s="129">
        <v>748.31280000000083</v>
      </c>
      <c r="AR9" s="129">
        <v>0</v>
      </c>
      <c r="AS9" s="129">
        <v>0</v>
      </c>
      <c r="AT9" s="129">
        <v>0</v>
      </c>
      <c r="AU9" s="129">
        <v>0</v>
      </c>
      <c r="AV9" s="129">
        <v>0</v>
      </c>
      <c r="AW9" s="129">
        <v>0</v>
      </c>
      <c r="AX9" s="129">
        <v>81650.405342629572</v>
      </c>
      <c r="AY9" s="129">
        <v>0</v>
      </c>
      <c r="AZ9" s="129">
        <v>163569.39681928259</v>
      </c>
      <c r="BA9" s="129">
        <v>0</v>
      </c>
      <c r="BB9" s="129">
        <v>18593.372160000017</v>
      </c>
      <c r="BC9" s="251">
        <v>0</v>
      </c>
      <c r="BD9" s="252"/>
      <c r="BE9" s="252">
        <v>151599.37</v>
      </c>
      <c r="BF9" s="254"/>
      <c r="BG9" s="259">
        <v>57934.8</v>
      </c>
      <c r="BH9" s="256">
        <v>10642.300000000003</v>
      </c>
      <c r="BI9" s="243"/>
      <c r="BJ9" s="129"/>
      <c r="BK9" s="129"/>
      <c r="BL9" s="251">
        <v>2323042.4</v>
      </c>
      <c r="BM9" s="259">
        <v>689251.01032191201</v>
      </c>
      <c r="BN9" s="259">
        <v>220176.46999999997</v>
      </c>
      <c r="BO9" s="259">
        <v>393139.90616892546</v>
      </c>
      <c r="BP9" s="136">
        <v>3232469.8803219115</v>
      </c>
      <c r="BQ9" s="136">
        <v>3232309.400321912</v>
      </c>
      <c r="BR9" s="267">
        <v>0</v>
      </c>
      <c r="BS9" s="136">
        <v>3012132.9303219118</v>
      </c>
      <c r="BT9" s="271">
        <v>5105.3100513930713</v>
      </c>
      <c r="BU9" s="271">
        <v>5151.7328495652173</v>
      </c>
      <c r="BV9" s="275">
        <v>-9.0111035505390982E-3</v>
      </c>
      <c r="BW9" s="275">
        <v>1.4011103550539097E-2</v>
      </c>
      <c r="BX9" s="278">
        <v>42426.58282778359</v>
      </c>
      <c r="BY9" s="288">
        <v>3274896.4631496952</v>
      </c>
      <c r="BZ9" s="256">
        <v>-755.2</v>
      </c>
      <c r="CA9" s="263">
        <v>-6448.7</v>
      </c>
      <c r="CB9" s="296">
        <v>3267692.5631496948</v>
      </c>
      <c r="CC9" s="2"/>
      <c r="CD9" s="521">
        <f>VLOOKUP(B9,'EYSFF (Universal)'!$A$10:$AC$66,29,0)</f>
        <v>283869.55024999997</v>
      </c>
      <c r="CE9" s="523">
        <f>VLOOKUP(B9,'EYSFF (Additional)'!$A$11:$AB$57,28,0)</f>
        <v>87663.008000000002</v>
      </c>
      <c r="CF9" s="514"/>
      <c r="CG9" s="100"/>
      <c r="CH9" s="565">
        <v>0</v>
      </c>
      <c r="CI9" s="114">
        <v>143218</v>
      </c>
      <c r="CK9" s="111">
        <v>264810</v>
      </c>
      <c r="CL9" s="111">
        <v>335</v>
      </c>
      <c r="CM9" s="556">
        <v>10120</v>
      </c>
      <c r="CN9" s="561">
        <v>8758</v>
      </c>
      <c r="CO9" s="2">
        <v>52033.714285714283</v>
      </c>
      <c r="CP9" s="571">
        <v>83641.8</v>
      </c>
      <c r="CQ9" s="547">
        <v>11207.88</v>
      </c>
      <c r="CR9" s="544"/>
      <c r="CS9" s="114"/>
      <c r="CT9" s="2"/>
    </row>
    <row r="10" spans="1:98" ht="14" x14ac:dyDescent="0.25">
      <c r="A10" s="60">
        <v>3122011</v>
      </c>
      <c r="B10" s="145">
        <v>2011</v>
      </c>
      <c r="C10" s="211" t="s">
        <v>59</v>
      </c>
      <c r="D10" s="217">
        <v>278</v>
      </c>
      <c r="E10" s="224">
        <v>278</v>
      </c>
      <c r="F10" s="224">
        <v>0</v>
      </c>
      <c r="G10" s="224">
        <v>0</v>
      </c>
      <c r="H10" s="224">
        <v>0</v>
      </c>
      <c r="I10" s="224">
        <v>68.000000000000114</v>
      </c>
      <c r="J10" s="221">
        <v>0</v>
      </c>
      <c r="K10" s="214">
        <v>87.999999999999972</v>
      </c>
      <c r="L10" s="224">
        <v>0</v>
      </c>
      <c r="M10" s="224">
        <v>95.000000000000014</v>
      </c>
      <c r="N10" s="224">
        <v>8.0000000000000036</v>
      </c>
      <c r="O10" s="224">
        <v>0</v>
      </c>
      <c r="P10" s="224">
        <v>2.0000000000000009</v>
      </c>
      <c r="Q10" s="224">
        <v>0.99999999999999911</v>
      </c>
      <c r="R10" s="224">
        <v>0</v>
      </c>
      <c r="S10" s="224">
        <v>0</v>
      </c>
      <c r="T10" s="224">
        <v>0</v>
      </c>
      <c r="U10" s="224">
        <v>0</v>
      </c>
      <c r="V10" s="224">
        <v>0</v>
      </c>
      <c r="W10" s="224">
        <v>0</v>
      </c>
      <c r="X10" s="224">
        <v>0</v>
      </c>
      <c r="Y10" s="224">
        <v>23.000000000000004</v>
      </c>
      <c r="Z10" s="224">
        <v>0</v>
      </c>
      <c r="AA10" s="224">
        <v>100.26594299046855</v>
      </c>
      <c r="AB10" s="224">
        <v>0</v>
      </c>
      <c r="AC10" s="224">
        <v>0</v>
      </c>
      <c r="AD10" s="221">
        <v>0</v>
      </c>
      <c r="AE10" s="230">
        <v>1094586.08</v>
      </c>
      <c r="AF10" s="128">
        <v>0</v>
      </c>
      <c r="AG10" s="233">
        <v>0</v>
      </c>
      <c r="AH10" s="240">
        <v>36667.327200000065</v>
      </c>
      <c r="AI10" s="237">
        <v>0</v>
      </c>
      <c r="AJ10" s="243">
        <v>79409.19359999997</v>
      </c>
      <c r="AK10" s="251">
        <v>0</v>
      </c>
      <c r="AL10" s="259">
        <v>24567.769500000002</v>
      </c>
      <c r="AM10" s="256">
        <v>2509.0488000000009</v>
      </c>
      <c r="AN10" s="243">
        <v>0</v>
      </c>
      <c r="AO10" s="129">
        <v>1067.4462000000005</v>
      </c>
      <c r="AP10" s="129">
        <v>566.73689999999954</v>
      </c>
      <c r="AQ10" s="129">
        <v>0</v>
      </c>
      <c r="AR10" s="129">
        <v>0</v>
      </c>
      <c r="AS10" s="129">
        <v>0</v>
      </c>
      <c r="AT10" s="129">
        <v>0</v>
      </c>
      <c r="AU10" s="129">
        <v>0</v>
      </c>
      <c r="AV10" s="129">
        <v>0</v>
      </c>
      <c r="AW10" s="129">
        <v>0</v>
      </c>
      <c r="AX10" s="129">
        <v>14933.242200000002</v>
      </c>
      <c r="AY10" s="129">
        <v>0</v>
      </c>
      <c r="AZ10" s="129">
        <v>129096.23175925048</v>
      </c>
      <c r="BA10" s="129">
        <v>0</v>
      </c>
      <c r="BB10" s="129">
        <v>0</v>
      </c>
      <c r="BC10" s="251">
        <v>0</v>
      </c>
      <c r="BD10" s="252"/>
      <c r="BE10" s="252">
        <v>151599.37</v>
      </c>
      <c r="BF10" s="254"/>
      <c r="BG10" s="259">
        <v>6780</v>
      </c>
      <c r="BH10" s="256">
        <v>0</v>
      </c>
      <c r="BI10" s="243"/>
      <c r="BJ10" s="129"/>
      <c r="BK10" s="129"/>
      <c r="BL10" s="251">
        <v>1094586.08</v>
      </c>
      <c r="BM10" s="259">
        <v>288816.9961592505</v>
      </c>
      <c r="BN10" s="259">
        <v>158379.37</v>
      </c>
      <c r="BO10" s="259">
        <v>215018.82117369541</v>
      </c>
      <c r="BP10" s="136">
        <v>1541782.4461592506</v>
      </c>
      <c r="BQ10" s="136">
        <v>1541706.8301592502</v>
      </c>
      <c r="BR10" s="267">
        <v>0</v>
      </c>
      <c r="BS10" s="136">
        <v>1383327.4601592505</v>
      </c>
      <c r="BT10" s="271">
        <v>4975.9980581268001</v>
      </c>
      <c r="BU10" s="271">
        <v>4928.562856747405</v>
      </c>
      <c r="BV10" s="275">
        <v>9.6245503523312691E-3</v>
      </c>
      <c r="BW10" s="275">
        <v>0</v>
      </c>
      <c r="BX10" s="278">
        <v>0</v>
      </c>
      <c r="BY10" s="288">
        <v>1541782.4461592506</v>
      </c>
      <c r="BZ10" s="256">
        <v>0</v>
      </c>
      <c r="CA10" s="263">
        <v>0</v>
      </c>
      <c r="CB10" s="296">
        <v>1541782.4461592506</v>
      </c>
      <c r="CC10" s="2"/>
      <c r="CD10" s="521"/>
      <c r="CE10" s="523"/>
      <c r="CF10" s="514"/>
      <c r="CG10" s="100"/>
      <c r="CH10" s="565">
        <v>42000</v>
      </c>
      <c r="CI10" s="114">
        <v>269703.66666666669</v>
      </c>
      <c r="CK10" s="111"/>
      <c r="CL10" s="111"/>
      <c r="CM10" s="556"/>
      <c r="CN10" s="560"/>
      <c r="CO10" s="2">
        <v>0</v>
      </c>
      <c r="CP10" s="571"/>
      <c r="CQ10" s="547"/>
      <c r="CR10" s="544"/>
      <c r="CS10" s="114"/>
      <c r="CT10" s="2"/>
    </row>
    <row r="11" spans="1:98" ht="14" x14ac:dyDescent="0.25">
      <c r="A11" s="60">
        <v>3122012</v>
      </c>
      <c r="B11" s="145">
        <v>2012</v>
      </c>
      <c r="C11" s="211" t="s">
        <v>57</v>
      </c>
      <c r="D11" s="217">
        <v>179</v>
      </c>
      <c r="E11" s="224">
        <v>179</v>
      </c>
      <c r="F11" s="224">
        <v>0</v>
      </c>
      <c r="G11" s="224">
        <v>0</v>
      </c>
      <c r="H11" s="224">
        <v>0</v>
      </c>
      <c r="I11" s="224">
        <v>48.000000000000078</v>
      </c>
      <c r="J11" s="221">
        <v>0</v>
      </c>
      <c r="K11" s="214">
        <v>50.999999999999929</v>
      </c>
      <c r="L11" s="224">
        <v>0</v>
      </c>
      <c r="M11" s="224">
        <v>61.000000000000014</v>
      </c>
      <c r="N11" s="224">
        <v>2.9999999999999911</v>
      </c>
      <c r="O11" s="224">
        <v>1</v>
      </c>
      <c r="P11" s="224">
        <v>1</v>
      </c>
      <c r="Q11" s="224">
        <v>1</v>
      </c>
      <c r="R11" s="224">
        <v>0</v>
      </c>
      <c r="S11" s="224">
        <v>0</v>
      </c>
      <c r="T11" s="224">
        <v>0</v>
      </c>
      <c r="U11" s="224">
        <v>0</v>
      </c>
      <c r="V11" s="224">
        <v>0</v>
      </c>
      <c r="W11" s="224">
        <v>0</v>
      </c>
      <c r="X11" s="224">
        <v>0</v>
      </c>
      <c r="Y11" s="224">
        <v>38.462809917355301</v>
      </c>
      <c r="Z11" s="224">
        <v>0</v>
      </c>
      <c r="AA11" s="224">
        <v>70.982758620689594</v>
      </c>
      <c r="AB11" s="224">
        <v>0</v>
      </c>
      <c r="AC11" s="224">
        <v>0</v>
      </c>
      <c r="AD11" s="221">
        <v>0</v>
      </c>
      <c r="AE11" s="230">
        <v>704787.44000000006</v>
      </c>
      <c r="AF11" s="128">
        <v>0</v>
      </c>
      <c r="AG11" s="233">
        <v>0</v>
      </c>
      <c r="AH11" s="240">
        <v>25882.819200000045</v>
      </c>
      <c r="AI11" s="237">
        <v>0</v>
      </c>
      <c r="AJ11" s="243">
        <v>46021.237199999938</v>
      </c>
      <c r="AK11" s="251">
        <v>0</v>
      </c>
      <c r="AL11" s="259">
        <v>15775.094100000002</v>
      </c>
      <c r="AM11" s="256">
        <v>940.89329999999723</v>
      </c>
      <c r="AN11" s="243">
        <v>489.7047</v>
      </c>
      <c r="AO11" s="129">
        <v>533.72310000000004</v>
      </c>
      <c r="AP11" s="129">
        <v>566.73689999999999</v>
      </c>
      <c r="AQ11" s="129">
        <v>0</v>
      </c>
      <c r="AR11" s="129">
        <v>0</v>
      </c>
      <c r="AS11" s="129">
        <v>0</v>
      </c>
      <c r="AT11" s="129">
        <v>0</v>
      </c>
      <c r="AU11" s="129">
        <v>0</v>
      </c>
      <c r="AV11" s="129">
        <v>0</v>
      </c>
      <c r="AW11" s="129">
        <v>0</v>
      </c>
      <c r="AX11" s="129">
        <v>24972.802442975179</v>
      </c>
      <c r="AY11" s="129">
        <v>0</v>
      </c>
      <c r="AZ11" s="129">
        <v>91393.013265517162</v>
      </c>
      <c r="BA11" s="129">
        <v>0</v>
      </c>
      <c r="BB11" s="129">
        <v>0</v>
      </c>
      <c r="BC11" s="251">
        <v>0</v>
      </c>
      <c r="BD11" s="252"/>
      <c r="BE11" s="252">
        <v>151599.37</v>
      </c>
      <c r="BF11" s="254"/>
      <c r="BG11" s="259">
        <v>28748.799999999999</v>
      </c>
      <c r="BH11" s="256">
        <v>3377.3300000000017</v>
      </c>
      <c r="BI11" s="243"/>
      <c r="BJ11" s="129"/>
      <c r="BK11" s="129"/>
      <c r="BL11" s="251">
        <v>704787.44000000006</v>
      </c>
      <c r="BM11" s="259">
        <v>206576.02420849234</v>
      </c>
      <c r="BN11" s="259">
        <v>183725.5</v>
      </c>
      <c r="BO11" s="259">
        <v>145838.2821845861</v>
      </c>
      <c r="BP11" s="136">
        <v>1095088.9642084925</v>
      </c>
      <c r="BQ11" s="136">
        <v>1095040.2762084925</v>
      </c>
      <c r="BR11" s="267">
        <v>0</v>
      </c>
      <c r="BS11" s="136">
        <v>911314.77620849246</v>
      </c>
      <c r="BT11" s="271">
        <v>5091.1440011647619</v>
      </c>
      <c r="BU11" s="271">
        <v>4997.0145202247195</v>
      </c>
      <c r="BV11" s="275">
        <v>1.8837143770358573E-2</v>
      </c>
      <c r="BW11" s="275">
        <v>0</v>
      </c>
      <c r="BX11" s="278">
        <v>0</v>
      </c>
      <c r="BY11" s="288">
        <v>1095088.9642084925</v>
      </c>
      <c r="BZ11" s="256">
        <v>-229.12</v>
      </c>
      <c r="CA11" s="263">
        <v>-1956.47</v>
      </c>
      <c r="CB11" s="296">
        <v>1092903.3742084925</v>
      </c>
      <c r="CC11" s="2"/>
      <c r="CD11" s="521">
        <f>VLOOKUP(B11,'EYSFF (Universal)'!$A$10:$AC$66,29,0)</f>
        <v>174957.36019480519</v>
      </c>
      <c r="CE11" s="523">
        <f>VLOOKUP(B11,'EYSFF (Additional)'!$A$11:$AB$57,28,0)</f>
        <v>49178.107990909091</v>
      </c>
      <c r="CF11" s="514"/>
      <c r="CG11" s="100"/>
      <c r="CH11" s="565">
        <v>35500</v>
      </c>
      <c r="CI11" s="114">
        <v>138395.25</v>
      </c>
      <c r="CK11" s="111">
        <v>74205</v>
      </c>
      <c r="CL11" s="111">
        <v>1005</v>
      </c>
      <c r="CM11" s="556">
        <v>5060</v>
      </c>
      <c r="CN11" s="560">
        <v>7154</v>
      </c>
      <c r="CO11" s="2">
        <v>17514.857142857145</v>
      </c>
      <c r="CP11" s="571">
        <v>54319.1</v>
      </c>
      <c r="CQ11" s="547">
        <v>6601</v>
      </c>
      <c r="CR11" s="544"/>
      <c r="CS11" s="114"/>
      <c r="CT11" s="2"/>
    </row>
    <row r="12" spans="1:98" ht="14" x14ac:dyDescent="0.25">
      <c r="A12" s="60">
        <v>3122016</v>
      </c>
      <c r="B12" s="145">
        <v>2016</v>
      </c>
      <c r="C12" s="211" t="s">
        <v>67</v>
      </c>
      <c r="D12" s="217">
        <v>624</v>
      </c>
      <c r="E12" s="224">
        <v>624</v>
      </c>
      <c r="F12" s="224">
        <v>0</v>
      </c>
      <c r="G12" s="224">
        <v>0</v>
      </c>
      <c r="H12" s="224">
        <v>0</v>
      </c>
      <c r="I12" s="224">
        <v>93.000000000000298</v>
      </c>
      <c r="J12" s="221">
        <v>0</v>
      </c>
      <c r="K12" s="214">
        <v>95.000000000000171</v>
      </c>
      <c r="L12" s="224">
        <v>0</v>
      </c>
      <c r="M12" s="224">
        <v>146.00000000000003</v>
      </c>
      <c r="N12" s="224">
        <v>13.999999999999979</v>
      </c>
      <c r="O12" s="224">
        <v>4.9999999999999982</v>
      </c>
      <c r="P12" s="224">
        <v>4</v>
      </c>
      <c r="Q12" s="224">
        <v>0</v>
      </c>
      <c r="R12" s="224">
        <v>0</v>
      </c>
      <c r="S12" s="224">
        <v>0</v>
      </c>
      <c r="T12" s="224">
        <v>0</v>
      </c>
      <c r="U12" s="224">
        <v>0</v>
      </c>
      <c r="V12" s="224">
        <v>0</v>
      </c>
      <c r="W12" s="224">
        <v>0</v>
      </c>
      <c r="X12" s="224">
        <v>0</v>
      </c>
      <c r="Y12" s="224">
        <v>109.43283582089539</v>
      </c>
      <c r="Z12" s="224">
        <v>0</v>
      </c>
      <c r="AA12" s="224">
        <v>124.7976870899589</v>
      </c>
      <c r="AB12" s="224">
        <v>0</v>
      </c>
      <c r="AC12" s="224">
        <v>0</v>
      </c>
      <c r="AD12" s="221">
        <v>0</v>
      </c>
      <c r="AE12" s="230">
        <v>2456912.64</v>
      </c>
      <c r="AF12" s="128">
        <v>0</v>
      </c>
      <c r="AG12" s="233">
        <v>0</v>
      </c>
      <c r="AH12" s="240">
        <v>50147.962200000162</v>
      </c>
      <c r="AI12" s="237">
        <v>0</v>
      </c>
      <c r="AJ12" s="243">
        <v>85725.834000000163</v>
      </c>
      <c r="AK12" s="251">
        <v>0</v>
      </c>
      <c r="AL12" s="259">
        <v>37756.782600000006</v>
      </c>
      <c r="AM12" s="256">
        <v>4390.8353999999936</v>
      </c>
      <c r="AN12" s="243">
        <v>2448.5234999999993</v>
      </c>
      <c r="AO12" s="129">
        <v>2134.8924000000002</v>
      </c>
      <c r="AP12" s="129">
        <v>0</v>
      </c>
      <c r="AQ12" s="129">
        <v>0</v>
      </c>
      <c r="AR12" s="129">
        <v>0</v>
      </c>
      <c r="AS12" s="129">
        <v>0</v>
      </c>
      <c r="AT12" s="129">
        <v>0</v>
      </c>
      <c r="AU12" s="129">
        <v>0</v>
      </c>
      <c r="AV12" s="129">
        <v>0</v>
      </c>
      <c r="AW12" s="129">
        <v>0</v>
      </c>
      <c r="AX12" s="129">
        <v>71051.610519402893</v>
      </c>
      <c r="AY12" s="129">
        <v>0</v>
      </c>
      <c r="AZ12" s="129">
        <v>160681.78939996893</v>
      </c>
      <c r="BA12" s="129">
        <v>0</v>
      </c>
      <c r="BB12" s="129">
        <v>0</v>
      </c>
      <c r="BC12" s="251">
        <v>0</v>
      </c>
      <c r="BD12" s="252"/>
      <c r="BE12" s="252">
        <v>151599.37</v>
      </c>
      <c r="BF12" s="254"/>
      <c r="BG12" s="259">
        <v>66606.399999999994</v>
      </c>
      <c r="BH12" s="256">
        <v>8938</v>
      </c>
      <c r="BI12" s="243"/>
      <c r="BJ12" s="129"/>
      <c r="BK12" s="129"/>
      <c r="BL12" s="251">
        <v>2456912.64</v>
      </c>
      <c r="BM12" s="259">
        <v>414338.23001937219</v>
      </c>
      <c r="BN12" s="259">
        <v>227143.77</v>
      </c>
      <c r="BO12" s="259">
        <v>304704.50432097085</v>
      </c>
      <c r="BP12" s="136">
        <v>3098394.6400193726</v>
      </c>
      <c r="BQ12" s="136">
        <v>3098224.912019372</v>
      </c>
      <c r="BR12" s="267">
        <v>0</v>
      </c>
      <c r="BS12" s="136">
        <v>2871081.1420193724</v>
      </c>
      <c r="BT12" s="271">
        <v>4601.0915737489941</v>
      </c>
      <c r="BU12" s="271">
        <v>4659.9014914790996</v>
      </c>
      <c r="BV12" s="275">
        <v>-1.2620420804526212E-2</v>
      </c>
      <c r="BW12" s="275">
        <v>1.7620420804526211E-2</v>
      </c>
      <c r="BX12" s="278">
        <v>51066.553317000129</v>
      </c>
      <c r="BY12" s="288">
        <v>3149461.1933363727</v>
      </c>
      <c r="BZ12" s="256">
        <v>-798.72</v>
      </c>
      <c r="CA12" s="263">
        <v>-6820.32</v>
      </c>
      <c r="CB12" s="296">
        <v>3141842.1533363727</v>
      </c>
      <c r="CC12" s="2"/>
      <c r="CD12" s="521">
        <f>VLOOKUP(B12,'EYSFF (Universal)'!$A$10:$AC$66,29,0)</f>
        <v>232907.55055555556</v>
      </c>
      <c r="CE12" s="523">
        <f>VLOOKUP(B12,'EYSFF (Additional)'!$A$11:$AB$57,28,0)</f>
        <v>132610.62014814815</v>
      </c>
      <c r="CF12" s="514"/>
      <c r="CG12" s="100"/>
      <c r="CH12" s="565">
        <v>48000</v>
      </c>
      <c r="CI12" s="114">
        <v>126957</v>
      </c>
      <c r="CK12" s="111">
        <v>162960</v>
      </c>
      <c r="CL12" s="111">
        <v>335</v>
      </c>
      <c r="CM12" s="556">
        <v>0</v>
      </c>
      <c r="CN12" s="560">
        <v>8883</v>
      </c>
      <c r="CO12" s="2">
        <v>51341.142857142855</v>
      </c>
      <c r="CP12" s="571">
        <v>107196.1</v>
      </c>
      <c r="CQ12" s="547">
        <v>11751.25</v>
      </c>
      <c r="CR12" s="544"/>
      <c r="CS12" s="114"/>
      <c r="CT12" s="2"/>
    </row>
    <row r="13" spans="1:98" ht="14" x14ac:dyDescent="0.25">
      <c r="A13" s="60">
        <v>3122017</v>
      </c>
      <c r="B13" s="145">
        <v>2017</v>
      </c>
      <c r="C13" s="211" t="s">
        <v>122</v>
      </c>
      <c r="D13" s="217">
        <v>282</v>
      </c>
      <c r="E13" s="224">
        <v>282</v>
      </c>
      <c r="F13" s="224">
        <v>0</v>
      </c>
      <c r="G13" s="224">
        <v>0</v>
      </c>
      <c r="H13" s="224">
        <v>0</v>
      </c>
      <c r="I13" s="224">
        <v>118.00000000000007</v>
      </c>
      <c r="J13" s="221">
        <v>0</v>
      </c>
      <c r="K13" s="214">
        <v>120.99999999999996</v>
      </c>
      <c r="L13" s="224">
        <v>0</v>
      </c>
      <c r="M13" s="224">
        <v>51.999999999999893</v>
      </c>
      <c r="N13" s="224">
        <v>115.99999999999987</v>
      </c>
      <c r="O13" s="224">
        <v>6.0000000000000133</v>
      </c>
      <c r="P13" s="224">
        <v>60.000000000000142</v>
      </c>
      <c r="Q13" s="224">
        <v>0</v>
      </c>
      <c r="R13" s="224">
        <v>0</v>
      </c>
      <c r="S13" s="224">
        <v>0</v>
      </c>
      <c r="T13" s="224">
        <v>0</v>
      </c>
      <c r="U13" s="224">
        <v>0</v>
      </c>
      <c r="V13" s="224">
        <v>0</v>
      </c>
      <c r="W13" s="224">
        <v>0</v>
      </c>
      <c r="X13" s="224">
        <v>0</v>
      </c>
      <c r="Y13" s="224">
        <v>107.37238493723855</v>
      </c>
      <c r="Z13" s="224">
        <v>0</v>
      </c>
      <c r="AA13" s="224">
        <v>121.8459226607894</v>
      </c>
      <c r="AB13" s="224">
        <v>0</v>
      </c>
      <c r="AC13" s="224">
        <v>15.08000000000013</v>
      </c>
      <c r="AD13" s="221">
        <v>0</v>
      </c>
      <c r="AE13" s="230">
        <v>1110335.52</v>
      </c>
      <c r="AF13" s="128">
        <v>0</v>
      </c>
      <c r="AG13" s="233">
        <v>0</v>
      </c>
      <c r="AH13" s="240">
        <v>63628.59720000004</v>
      </c>
      <c r="AI13" s="237">
        <v>0</v>
      </c>
      <c r="AJ13" s="243">
        <v>109187.64119999997</v>
      </c>
      <c r="AK13" s="251">
        <v>0</v>
      </c>
      <c r="AL13" s="259">
        <v>13447.62119999997</v>
      </c>
      <c r="AM13" s="256">
        <v>36381.207599999958</v>
      </c>
      <c r="AN13" s="243">
        <v>2938.2282000000064</v>
      </c>
      <c r="AO13" s="129">
        <v>32023.386000000079</v>
      </c>
      <c r="AP13" s="129">
        <v>0</v>
      </c>
      <c r="AQ13" s="129">
        <v>0</v>
      </c>
      <c r="AR13" s="129">
        <v>0</v>
      </c>
      <c r="AS13" s="129">
        <v>0</v>
      </c>
      <c r="AT13" s="129">
        <v>0</v>
      </c>
      <c r="AU13" s="129">
        <v>0</v>
      </c>
      <c r="AV13" s="129">
        <v>0</v>
      </c>
      <c r="AW13" s="129">
        <v>0</v>
      </c>
      <c r="AX13" s="129">
        <v>69713.818689539781</v>
      </c>
      <c r="AY13" s="129">
        <v>0</v>
      </c>
      <c r="AZ13" s="129">
        <v>156881.279940012</v>
      </c>
      <c r="BA13" s="129">
        <v>0</v>
      </c>
      <c r="BB13" s="129">
        <v>15931.139328000139</v>
      </c>
      <c r="BC13" s="251">
        <v>0</v>
      </c>
      <c r="BD13" s="252"/>
      <c r="BE13" s="252">
        <v>151599.37</v>
      </c>
      <c r="BF13" s="254"/>
      <c r="BG13" s="259">
        <v>6566</v>
      </c>
      <c r="BH13" s="256">
        <v>0</v>
      </c>
      <c r="BI13" s="243"/>
      <c r="BJ13" s="129"/>
      <c r="BK13" s="129"/>
      <c r="BL13" s="251">
        <v>1110335.52</v>
      </c>
      <c r="BM13" s="259">
        <v>500132.91935755196</v>
      </c>
      <c r="BN13" s="259">
        <v>158165.37</v>
      </c>
      <c r="BO13" s="259">
        <v>283207.40152265131</v>
      </c>
      <c r="BP13" s="136">
        <v>1768633.8093575519</v>
      </c>
      <c r="BQ13" s="136">
        <v>1768557.1053575519</v>
      </c>
      <c r="BR13" s="267">
        <v>0</v>
      </c>
      <c r="BS13" s="136">
        <v>1610391.7353575518</v>
      </c>
      <c r="BT13" s="271">
        <v>5710.6089906296165</v>
      </c>
      <c r="BU13" s="271">
        <v>5824.3797980952386</v>
      </c>
      <c r="BV13" s="275">
        <v>-1.9533548877226175E-2</v>
      </c>
      <c r="BW13" s="275">
        <v>2.4533548877226176E-2</v>
      </c>
      <c r="BX13" s="278">
        <v>40219.039220619728</v>
      </c>
      <c r="BY13" s="288">
        <v>1808852.8485781716</v>
      </c>
      <c r="BZ13" s="256">
        <v>0</v>
      </c>
      <c r="CA13" s="263">
        <v>0</v>
      </c>
      <c r="CB13" s="296">
        <v>1808852.8485781716</v>
      </c>
      <c r="CC13" s="2"/>
      <c r="CD13" s="521">
        <f>VLOOKUP(B13,'EYSFF (Universal)'!$A$10:$AC$66,29,0)</f>
        <v>172395.69187012987</v>
      </c>
      <c r="CE13" s="523">
        <f>VLOOKUP(B13,'EYSFF (Additional)'!$A$11:$AB$57,28,0)</f>
        <v>42362.214</v>
      </c>
      <c r="CF13" s="514"/>
      <c r="CG13" s="100"/>
      <c r="CH13" s="565">
        <v>0</v>
      </c>
      <c r="CI13" s="114">
        <v>88274</v>
      </c>
      <c r="CK13" s="111"/>
      <c r="CL13" s="111"/>
      <c r="CM13" s="556"/>
      <c r="CN13" s="560"/>
      <c r="CO13" s="2">
        <v>0</v>
      </c>
      <c r="CP13" s="571"/>
      <c r="CQ13" s="547"/>
      <c r="CR13" s="544"/>
      <c r="CS13" s="114"/>
      <c r="CT13" s="2"/>
    </row>
    <row r="14" spans="1:98" ht="14" x14ac:dyDescent="0.25">
      <c r="A14" s="60">
        <v>3122018</v>
      </c>
      <c r="B14" s="145">
        <v>2018</v>
      </c>
      <c r="C14" s="211" t="s">
        <v>73</v>
      </c>
      <c r="D14" s="217">
        <v>327</v>
      </c>
      <c r="E14" s="224">
        <v>327</v>
      </c>
      <c r="F14" s="224">
        <v>0</v>
      </c>
      <c r="G14" s="224">
        <v>0</v>
      </c>
      <c r="H14" s="224">
        <v>0</v>
      </c>
      <c r="I14" s="224">
        <v>89.999999999999957</v>
      </c>
      <c r="J14" s="221">
        <v>0</v>
      </c>
      <c r="K14" s="214">
        <v>89.999999999999957</v>
      </c>
      <c r="L14" s="224">
        <v>0</v>
      </c>
      <c r="M14" s="224">
        <v>59.000000000000021</v>
      </c>
      <c r="N14" s="224">
        <v>11.999999999999995</v>
      </c>
      <c r="O14" s="224">
        <v>5.9999999999999973</v>
      </c>
      <c r="P14" s="224">
        <v>2.0000000000000013</v>
      </c>
      <c r="Q14" s="224">
        <v>0</v>
      </c>
      <c r="R14" s="224">
        <v>0</v>
      </c>
      <c r="S14" s="224">
        <v>0</v>
      </c>
      <c r="T14" s="224">
        <v>0</v>
      </c>
      <c r="U14" s="224">
        <v>0</v>
      </c>
      <c r="V14" s="224">
        <v>0</v>
      </c>
      <c r="W14" s="224">
        <v>0</v>
      </c>
      <c r="X14" s="224">
        <v>0</v>
      </c>
      <c r="Y14" s="224">
        <v>35.999999999999986</v>
      </c>
      <c r="Z14" s="224">
        <v>0</v>
      </c>
      <c r="AA14" s="224">
        <v>85.740426872049994</v>
      </c>
      <c r="AB14" s="224">
        <v>0</v>
      </c>
      <c r="AC14" s="224">
        <v>0</v>
      </c>
      <c r="AD14" s="221">
        <v>0</v>
      </c>
      <c r="AE14" s="230">
        <v>1287516.72</v>
      </c>
      <c r="AF14" s="128">
        <v>0</v>
      </c>
      <c r="AG14" s="233">
        <v>0</v>
      </c>
      <c r="AH14" s="240">
        <v>48530.285999999978</v>
      </c>
      <c r="AI14" s="237">
        <v>0</v>
      </c>
      <c r="AJ14" s="243">
        <v>81213.94799999996</v>
      </c>
      <c r="AK14" s="251">
        <v>0</v>
      </c>
      <c r="AL14" s="259">
        <v>15257.877900000005</v>
      </c>
      <c r="AM14" s="256">
        <v>3763.5731999999985</v>
      </c>
      <c r="AN14" s="243">
        <v>2938.2281999999987</v>
      </c>
      <c r="AO14" s="129">
        <v>1067.4462000000008</v>
      </c>
      <c r="AP14" s="129">
        <v>0</v>
      </c>
      <c r="AQ14" s="129">
        <v>0</v>
      </c>
      <c r="AR14" s="129">
        <v>0</v>
      </c>
      <c r="AS14" s="129">
        <v>0</v>
      </c>
      <c r="AT14" s="129">
        <v>0</v>
      </c>
      <c r="AU14" s="129">
        <v>0</v>
      </c>
      <c r="AV14" s="129">
        <v>0</v>
      </c>
      <c r="AW14" s="129">
        <v>0</v>
      </c>
      <c r="AX14" s="129">
        <v>23373.77039999999</v>
      </c>
      <c r="AY14" s="129">
        <v>0</v>
      </c>
      <c r="AZ14" s="129">
        <v>110394.07488207088</v>
      </c>
      <c r="BA14" s="129">
        <v>0</v>
      </c>
      <c r="BB14" s="129">
        <v>0</v>
      </c>
      <c r="BC14" s="251">
        <v>0</v>
      </c>
      <c r="BD14" s="252"/>
      <c r="BE14" s="252">
        <v>151599.37</v>
      </c>
      <c r="BF14" s="254"/>
      <c r="BG14" s="259">
        <v>43710</v>
      </c>
      <c r="BH14" s="256">
        <v>0</v>
      </c>
      <c r="BI14" s="243"/>
      <c r="BJ14" s="129"/>
      <c r="BK14" s="129"/>
      <c r="BL14" s="251">
        <v>1287516.72</v>
      </c>
      <c r="BM14" s="259">
        <v>286539.20478207082</v>
      </c>
      <c r="BN14" s="259">
        <v>195309.37</v>
      </c>
      <c r="BO14" s="259">
        <v>202638.69207414659</v>
      </c>
      <c r="BP14" s="136">
        <v>1769365.2947820709</v>
      </c>
      <c r="BQ14" s="136">
        <v>1769276.3507820708</v>
      </c>
      <c r="BR14" s="267">
        <v>0</v>
      </c>
      <c r="BS14" s="136">
        <v>1573966.9807820707</v>
      </c>
      <c r="BT14" s="271">
        <v>4813.3546812907362</v>
      </c>
      <c r="BU14" s="271">
        <v>4787.5886477528093</v>
      </c>
      <c r="BV14" s="275">
        <v>5.3818394673529248E-3</v>
      </c>
      <c r="BW14" s="275">
        <v>0</v>
      </c>
      <c r="BX14" s="278">
        <v>0</v>
      </c>
      <c r="BY14" s="288">
        <v>1769365.2947820709</v>
      </c>
      <c r="BZ14" s="256">
        <v>0</v>
      </c>
      <c r="CA14" s="263">
        <v>0</v>
      </c>
      <c r="CB14" s="296">
        <v>1769365.2947820709</v>
      </c>
      <c r="CC14" s="2"/>
      <c r="CD14" s="521"/>
      <c r="CE14" s="523"/>
      <c r="CF14" s="514"/>
      <c r="CG14" s="100"/>
      <c r="CH14" s="565">
        <v>0</v>
      </c>
      <c r="CI14" s="114">
        <v>28616.666666666664</v>
      </c>
      <c r="CK14" s="111"/>
      <c r="CL14" s="111"/>
      <c r="CM14" s="556"/>
      <c r="CN14" s="560"/>
      <c r="CO14" s="2">
        <v>0</v>
      </c>
      <c r="CP14" s="571"/>
      <c r="CQ14" s="547"/>
      <c r="CR14" s="544"/>
      <c r="CS14" s="114"/>
      <c r="CT14" s="2"/>
    </row>
    <row r="15" spans="1:98" ht="14" x14ac:dyDescent="0.25">
      <c r="A15" s="60">
        <v>3122019</v>
      </c>
      <c r="B15" s="145">
        <v>2019</v>
      </c>
      <c r="C15" s="211" t="s">
        <v>71</v>
      </c>
      <c r="D15" s="217">
        <v>244</v>
      </c>
      <c r="E15" s="224">
        <v>244</v>
      </c>
      <c r="F15" s="224">
        <v>0</v>
      </c>
      <c r="G15" s="224">
        <v>0</v>
      </c>
      <c r="H15" s="224">
        <v>0</v>
      </c>
      <c r="I15" s="224">
        <v>43.999999999999993</v>
      </c>
      <c r="J15" s="221">
        <v>0</v>
      </c>
      <c r="K15" s="214">
        <v>45.000000000000071</v>
      </c>
      <c r="L15" s="224">
        <v>0</v>
      </c>
      <c r="M15" s="224">
        <v>52.000000000000085</v>
      </c>
      <c r="N15" s="224">
        <v>9.9999999999999876</v>
      </c>
      <c r="O15" s="224">
        <v>2.9999999999999964</v>
      </c>
      <c r="P15" s="224">
        <v>0</v>
      </c>
      <c r="Q15" s="224">
        <v>0</v>
      </c>
      <c r="R15" s="224">
        <v>0</v>
      </c>
      <c r="S15" s="224">
        <v>0</v>
      </c>
      <c r="T15" s="224">
        <v>0</v>
      </c>
      <c r="U15" s="224">
        <v>0</v>
      </c>
      <c r="V15" s="224">
        <v>0</v>
      </c>
      <c r="W15" s="224">
        <v>0</v>
      </c>
      <c r="X15" s="224">
        <v>0</v>
      </c>
      <c r="Y15" s="224">
        <v>102.367816091954</v>
      </c>
      <c r="Z15" s="224">
        <v>0</v>
      </c>
      <c r="AA15" s="224">
        <v>87.552941176470597</v>
      </c>
      <c r="AB15" s="224">
        <v>0</v>
      </c>
      <c r="AC15" s="224">
        <v>0</v>
      </c>
      <c r="AD15" s="221">
        <v>0</v>
      </c>
      <c r="AE15" s="230">
        <v>960715.84000000008</v>
      </c>
      <c r="AF15" s="128">
        <v>0</v>
      </c>
      <c r="AG15" s="233">
        <v>0</v>
      </c>
      <c r="AH15" s="240">
        <v>23725.917599999997</v>
      </c>
      <c r="AI15" s="237">
        <v>0</v>
      </c>
      <c r="AJ15" s="243">
        <v>40606.974000000067</v>
      </c>
      <c r="AK15" s="251">
        <v>0</v>
      </c>
      <c r="AL15" s="259">
        <v>13447.621200000021</v>
      </c>
      <c r="AM15" s="256">
        <v>3136.3109999999961</v>
      </c>
      <c r="AN15" s="243">
        <v>1469.1140999999982</v>
      </c>
      <c r="AO15" s="129">
        <v>0</v>
      </c>
      <c r="AP15" s="129">
        <v>0</v>
      </c>
      <c r="AQ15" s="129">
        <v>0</v>
      </c>
      <c r="AR15" s="129">
        <v>0</v>
      </c>
      <c r="AS15" s="129">
        <v>0</v>
      </c>
      <c r="AT15" s="129">
        <v>0</v>
      </c>
      <c r="AU15" s="129">
        <v>0</v>
      </c>
      <c r="AV15" s="129">
        <v>0</v>
      </c>
      <c r="AW15" s="129">
        <v>0</v>
      </c>
      <c r="AX15" s="129">
        <v>66464.495268965446</v>
      </c>
      <c r="AY15" s="129">
        <v>0</v>
      </c>
      <c r="AZ15" s="129">
        <v>112727.75628705883</v>
      </c>
      <c r="BA15" s="129">
        <v>0</v>
      </c>
      <c r="BB15" s="129">
        <v>0</v>
      </c>
      <c r="BC15" s="251">
        <v>0</v>
      </c>
      <c r="BD15" s="252"/>
      <c r="BE15" s="252">
        <v>151599.37</v>
      </c>
      <c r="BF15" s="254"/>
      <c r="BG15" s="259">
        <v>43943.199999999997</v>
      </c>
      <c r="BH15" s="256">
        <v>6877.9000000000015</v>
      </c>
      <c r="BI15" s="243"/>
      <c r="BJ15" s="129"/>
      <c r="BK15" s="129"/>
      <c r="BL15" s="251">
        <v>960715.84000000008</v>
      </c>
      <c r="BM15" s="259">
        <v>261578.18945602432</v>
      </c>
      <c r="BN15" s="259">
        <v>202420.47</v>
      </c>
      <c r="BO15" s="259">
        <v>172556.04697483534</v>
      </c>
      <c r="BP15" s="136">
        <v>1424714.4994560245</v>
      </c>
      <c r="BQ15" s="136">
        <v>1424648.1314560245</v>
      </c>
      <c r="BR15" s="267">
        <v>0</v>
      </c>
      <c r="BS15" s="136">
        <v>1222227.6614560243</v>
      </c>
      <c r="BT15" s="271">
        <v>5009.1297600656735</v>
      </c>
      <c r="BU15" s="271">
        <v>4899.0042712686572</v>
      </c>
      <c r="BV15" s="275">
        <v>2.2479157538782449E-2</v>
      </c>
      <c r="BW15" s="275">
        <v>0</v>
      </c>
      <c r="BX15" s="278">
        <v>0</v>
      </c>
      <c r="BY15" s="288">
        <v>1424714.4994560245</v>
      </c>
      <c r="BZ15" s="256">
        <v>-312.32</v>
      </c>
      <c r="CA15" s="263">
        <v>-2666.92</v>
      </c>
      <c r="CB15" s="296">
        <v>1421735.2594560245</v>
      </c>
      <c r="CC15" s="2"/>
      <c r="CD15" s="521">
        <f>VLOOKUP(B15,'EYSFF (Universal)'!$A$10:$AC$66,29,0)</f>
        <v>256078.20793548386</v>
      </c>
      <c r="CE15" s="523">
        <f>VLOOKUP(B15,'EYSFF (Additional)'!$A$11:$AB$57,28,0)</f>
        <v>115363.24567096774</v>
      </c>
      <c r="CF15" s="514"/>
      <c r="CG15" s="100"/>
      <c r="CH15" s="565">
        <v>0</v>
      </c>
      <c r="CI15" s="114">
        <v>116769.13</v>
      </c>
      <c r="CK15" s="111">
        <v>75660</v>
      </c>
      <c r="CL15" s="111">
        <v>0</v>
      </c>
      <c r="CM15" s="556">
        <v>0</v>
      </c>
      <c r="CN15" s="560">
        <v>7342</v>
      </c>
      <c r="CO15" s="2">
        <v>23811.428571428572</v>
      </c>
      <c r="CP15" s="571">
        <v>84843.55</v>
      </c>
      <c r="CQ15" s="547">
        <v>7701.25</v>
      </c>
      <c r="CR15" s="544"/>
      <c r="CS15" s="114"/>
      <c r="CT15" s="2"/>
    </row>
    <row r="16" spans="1:98" ht="14" x14ac:dyDescent="0.25">
      <c r="A16" s="60">
        <v>3122020</v>
      </c>
      <c r="B16" s="145">
        <v>2020</v>
      </c>
      <c r="C16" s="211" t="s">
        <v>77</v>
      </c>
      <c r="D16" s="217">
        <v>582</v>
      </c>
      <c r="E16" s="224">
        <v>582</v>
      </c>
      <c r="F16" s="224">
        <v>0</v>
      </c>
      <c r="G16" s="224">
        <v>0</v>
      </c>
      <c r="H16" s="224">
        <v>0</v>
      </c>
      <c r="I16" s="224">
        <v>47.000000000000021</v>
      </c>
      <c r="J16" s="221">
        <v>0</v>
      </c>
      <c r="K16" s="214">
        <v>49.000000000000028</v>
      </c>
      <c r="L16" s="224">
        <v>0</v>
      </c>
      <c r="M16" s="224">
        <v>29.049913941480185</v>
      </c>
      <c r="N16" s="224">
        <v>22.037865748709123</v>
      </c>
      <c r="O16" s="224">
        <v>3.0051635111876056</v>
      </c>
      <c r="P16" s="224">
        <v>0</v>
      </c>
      <c r="Q16" s="224">
        <v>0</v>
      </c>
      <c r="R16" s="224">
        <v>0</v>
      </c>
      <c r="S16" s="224">
        <v>0</v>
      </c>
      <c r="T16" s="224">
        <v>0</v>
      </c>
      <c r="U16" s="224">
        <v>0</v>
      </c>
      <c r="V16" s="224">
        <v>0</v>
      </c>
      <c r="W16" s="224">
        <v>0</v>
      </c>
      <c r="X16" s="224">
        <v>0</v>
      </c>
      <c r="Y16" s="224">
        <v>63.136094674556112</v>
      </c>
      <c r="Z16" s="224">
        <v>0</v>
      </c>
      <c r="AA16" s="224">
        <v>128.98998786407768</v>
      </c>
      <c r="AB16" s="224">
        <v>0</v>
      </c>
      <c r="AC16" s="224">
        <v>0</v>
      </c>
      <c r="AD16" s="221">
        <v>0</v>
      </c>
      <c r="AE16" s="230">
        <v>2291543.52</v>
      </c>
      <c r="AF16" s="128">
        <v>0</v>
      </c>
      <c r="AG16" s="233">
        <v>0</v>
      </c>
      <c r="AH16" s="240">
        <v>25343.593800000013</v>
      </c>
      <c r="AI16" s="237">
        <v>0</v>
      </c>
      <c r="AJ16" s="243">
        <v>44216.482800000027</v>
      </c>
      <c r="AK16" s="251">
        <v>0</v>
      </c>
      <c r="AL16" s="259">
        <v>7512.543049569701</v>
      </c>
      <c r="AM16" s="256">
        <v>6911.760076419966</v>
      </c>
      <c r="AN16" s="243">
        <v>1471.6426956970731</v>
      </c>
      <c r="AO16" s="129">
        <v>0</v>
      </c>
      <c r="AP16" s="129">
        <v>0</v>
      </c>
      <c r="AQ16" s="129">
        <v>0</v>
      </c>
      <c r="AR16" s="129">
        <v>0</v>
      </c>
      <c r="AS16" s="129">
        <v>0</v>
      </c>
      <c r="AT16" s="129">
        <v>0</v>
      </c>
      <c r="AU16" s="129">
        <v>0</v>
      </c>
      <c r="AV16" s="129">
        <v>0</v>
      </c>
      <c r="AW16" s="129">
        <v>0</v>
      </c>
      <c r="AX16" s="129">
        <v>40992.46057988159</v>
      </c>
      <c r="AY16" s="129">
        <v>0</v>
      </c>
      <c r="AZ16" s="129">
        <v>166079.53679253641</v>
      </c>
      <c r="BA16" s="129">
        <v>0</v>
      </c>
      <c r="BB16" s="129">
        <v>0</v>
      </c>
      <c r="BC16" s="251">
        <v>0</v>
      </c>
      <c r="BD16" s="252"/>
      <c r="BE16" s="252">
        <v>151599.37</v>
      </c>
      <c r="BF16" s="254"/>
      <c r="BG16" s="259">
        <v>97648.6</v>
      </c>
      <c r="BH16" s="256">
        <v>17235.300000000003</v>
      </c>
      <c r="BI16" s="243"/>
      <c r="BJ16" s="129"/>
      <c r="BK16" s="129"/>
      <c r="BL16" s="251">
        <v>2291543.52</v>
      </c>
      <c r="BM16" s="259">
        <v>292528.0197941048</v>
      </c>
      <c r="BN16" s="259">
        <v>266483.27</v>
      </c>
      <c r="BO16" s="259">
        <v>271270.10087474325</v>
      </c>
      <c r="BP16" s="136">
        <v>2850554.8097941047</v>
      </c>
      <c r="BQ16" s="136">
        <v>2850396.5057941042</v>
      </c>
      <c r="BR16" s="267">
        <v>0</v>
      </c>
      <c r="BS16" s="136">
        <v>2583913.2357941046</v>
      </c>
      <c r="BT16" s="271">
        <v>4439.713463563754</v>
      </c>
      <c r="BU16" s="271">
        <v>4467.9629249999989</v>
      </c>
      <c r="BV16" s="275">
        <v>-6.322671407629224E-3</v>
      </c>
      <c r="BW16" s="275">
        <v>1.1322671407629225E-2</v>
      </c>
      <c r="BX16" s="278">
        <v>29284.654667644583</v>
      </c>
      <c r="BY16" s="288">
        <v>2879839.4644617494</v>
      </c>
      <c r="BZ16" s="256">
        <v>-744.96</v>
      </c>
      <c r="CA16" s="263">
        <v>-6361.26</v>
      </c>
      <c r="CB16" s="296">
        <v>2872733.2444617497</v>
      </c>
      <c r="CC16" s="2"/>
      <c r="CD16" s="521">
        <f>VLOOKUP(B16,'EYSFF (Universal)'!$A$10:$AC$66,29,0)</f>
        <v>140680.70470588235</v>
      </c>
      <c r="CE16" s="523">
        <f>VLOOKUP(B16,'EYSFF (Additional)'!$A$11:$AB$57,28,0)</f>
        <v>71593.74217058823</v>
      </c>
      <c r="CF16" s="514"/>
      <c r="CG16" s="100"/>
      <c r="CH16" s="565">
        <v>66000</v>
      </c>
      <c r="CI16" s="114">
        <v>311181</v>
      </c>
      <c r="CK16" s="111">
        <v>69840</v>
      </c>
      <c r="CL16" s="111">
        <v>14405</v>
      </c>
      <c r="CM16" s="556">
        <v>10120</v>
      </c>
      <c r="CN16" s="560">
        <v>8808</v>
      </c>
      <c r="CO16" s="2">
        <v>45162.857142857145</v>
      </c>
      <c r="CP16" s="571">
        <v>96140</v>
      </c>
      <c r="CQ16" s="547">
        <v>11287.3</v>
      </c>
      <c r="CR16" s="544"/>
      <c r="CS16" s="114"/>
      <c r="CT16" s="2"/>
    </row>
    <row r="17" spans="1:98" ht="14" x14ac:dyDescent="0.25">
      <c r="A17" s="60">
        <v>3122021</v>
      </c>
      <c r="B17" s="145">
        <v>2021</v>
      </c>
      <c r="C17" s="212" t="s">
        <v>106</v>
      </c>
      <c r="D17" s="217">
        <v>382</v>
      </c>
      <c r="E17" s="224">
        <v>382</v>
      </c>
      <c r="F17" s="224">
        <v>0</v>
      </c>
      <c r="G17" s="224">
        <v>0</v>
      </c>
      <c r="H17" s="224">
        <v>0</v>
      </c>
      <c r="I17" s="224">
        <v>83.000000000000085</v>
      </c>
      <c r="J17" s="221">
        <v>0</v>
      </c>
      <c r="K17" s="214">
        <v>93.000000000000014</v>
      </c>
      <c r="L17" s="224">
        <v>0</v>
      </c>
      <c r="M17" s="224">
        <v>119.00000000000006</v>
      </c>
      <c r="N17" s="224">
        <v>76.000000000000057</v>
      </c>
      <c r="O17" s="224">
        <v>0</v>
      </c>
      <c r="P17" s="224">
        <v>1.0000000000000004</v>
      </c>
      <c r="Q17" s="224">
        <v>5.0000000000000018</v>
      </c>
      <c r="R17" s="224">
        <v>0</v>
      </c>
      <c r="S17" s="224">
        <v>0</v>
      </c>
      <c r="T17" s="224">
        <v>0</v>
      </c>
      <c r="U17" s="224">
        <v>0</v>
      </c>
      <c r="V17" s="224">
        <v>0</v>
      </c>
      <c r="W17" s="224">
        <v>0</v>
      </c>
      <c r="X17" s="224">
        <v>0</v>
      </c>
      <c r="Y17" s="224">
        <v>144.54054054054041</v>
      </c>
      <c r="Z17" s="224">
        <v>0</v>
      </c>
      <c r="AA17" s="224">
        <v>72.298407210222905</v>
      </c>
      <c r="AB17" s="224">
        <v>0</v>
      </c>
      <c r="AC17" s="224">
        <v>9.1639895013123525</v>
      </c>
      <c r="AD17" s="221">
        <v>0</v>
      </c>
      <c r="AE17" s="230">
        <v>1504071.52</v>
      </c>
      <c r="AF17" s="128">
        <v>0</v>
      </c>
      <c r="AG17" s="233">
        <v>0</v>
      </c>
      <c r="AH17" s="240">
        <v>44755.708200000052</v>
      </c>
      <c r="AI17" s="237">
        <v>0</v>
      </c>
      <c r="AJ17" s="243">
        <v>83921.079600000012</v>
      </c>
      <c r="AK17" s="251">
        <v>0</v>
      </c>
      <c r="AL17" s="259">
        <v>30774.363900000011</v>
      </c>
      <c r="AM17" s="256">
        <v>23835.963600000017</v>
      </c>
      <c r="AN17" s="243">
        <v>0</v>
      </c>
      <c r="AO17" s="129">
        <v>533.72310000000027</v>
      </c>
      <c r="AP17" s="129">
        <v>2833.6845000000008</v>
      </c>
      <c r="AQ17" s="129">
        <v>0</v>
      </c>
      <c r="AR17" s="129">
        <v>0</v>
      </c>
      <c r="AS17" s="129">
        <v>0</v>
      </c>
      <c r="AT17" s="129">
        <v>0</v>
      </c>
      <c r="AU17" s="129">
        <v>0</v>
      </c>
      <c r="AV17" s="129">
        <v>0</v>
      </c>
      <c r="AW17" s="129">
        <v>0</v>
      </c>
      <c r="AX17" s="129">
        <v>93846.039113513427</v>
      </c>
      <c r="AY17" s="129">
        <v>0</v>
      </c>
      <c r="AZ17" s="129">
        <v>93086.961082317415</v>
      </c>
      <c r="BA17" s="129">
        <v>0</v>
      </c>
      <c r="BB17" s="129">
        <v>9681.2197311496238</v>
      </c>
      <c r="BC17" s="251">
        <v>0</v>
      </c>
      <c r="BD17" s="252"/>
      <c r="BE17" s="252">
        <v>151599.37</v>
      </c>
      <c r="BF17" s="254"/>
      <c r="BG17" s="259">
        <v>0</v>
      </c>
      <c r="BH17" s="256">
        <v>0</v>
      </c>
      <c r="BI17" s="243"/>
      <c r="BJ17" s="129"/>
      <c r="BK17" s="129"/>
      <c r="BL17" s="251">
        <v>1504071.52</v>
      </c>
      <c r="BM17" s="259">
        <v>383268.74282698054</v>
      </c>
      <c r="BN17" s="259">
        <v>151599.37</v>
      </c>
      <c r="BO17" s="259">
        <v>212854.58099398532</v>
      </c>
      <c r="BP17" s="136">
        <v>2038939.6328269807</v>
      </c>
      <c r="BQ17" s="136">
        <v>2038835.7288269806</v>
      </c>
      <c r="BR17" s="267">
        <v>0</v>
      </c>
      <c r="BS17" s="136">
        <v>1887236.3588269805</v>
      </c>
      <c r="BT17" s="271">
        <v>4940.4093163009957</v>
      </c>
      <c r="BU17" s="271">
        <v>4931.5551507692307</v>
      </c>
      <c r="BV17" s="275">
        <v>1.795410425529528E-3</v>
      </c>
      <c r="BW17" s="275">
        <v>3.2045895744704719E-3</v>
      </c>
      <c r="BX17" s="278">
        <v>5933.0751048347092</v>
      </c>
      <c r="BY17" s="288">
        <v>2044872.7079318154</v>
      </c>
      <c r="BZ17" s="256">
        <v>0</v>
      </c>
      <c r="CA17" s="263">
        <v>0</v>
      </c>
      <c r="CB17" s="296">
        <v>2044872.7079318154</v>
      </c>
      <c r="CC17" s="2"/>
      <c r="CD17" s="521">
        <f>VLOOKUP(B17,'EYSFF (Universal)'!$A$10:$AC$66,29,0)</f>
        <v>126625.11900000001</v>
      </c>
      <c r="CE17" s="523"/>
      <c r="CF17" s="514"/>
      <c r="CG17" s="100"/>
      <c r="CH17" s="565">
        <v>0</v>
      </c>
      <c r="CI17" s="114">
        <v>71407</v>
      </c>
      <c r="CK17" s="111"/>
      <c r="CL17" s="111"/>
      <c r="CM17" s="556"/>
      <c r="CN17" s="560"/>
      <c r="CO17" s="2">
        <v>0</v>
      </c>
      <c r="CP17" s="571"/>
      <c r="CQ17" s="547"/>
      <c r="CR17" s="544"/>
      <c r="CS17" s="114"/>
      <c r="CT17" s="2"/>
    </row>
    <row r="18" spans="1:98" ht="14" x14ac:dyDescent="0.25">
      <c r="A18" s="60">
        <v>3122022</v>
      </c>
      <c r="B18" s="145">
        <v>2022</v>
      </c>
      <c r="C18" s="211" t="s">
        <v>128</v>
      </c>
      <c r="D18" s="217">
        <v>140</v>
      </c>
      <c r="E18" s="224">
        <v>140</v>
      </c>
      <c r="F18" s="224">
        <v>0</v>
      </c>
      <c r="G18" s="224">
        <v>0</v>
      </c>
      <c r="H18" s="224">
        <v>0</v>
      </c>
      <c r="I18" s="224">
        <v>9.0000000000000018</v>
      </c>
      <c r="J18" s="221">
        <v>0</v>
      </c>
      <c r="K18" s="214">
        <v>9.0000000000000018</v>
      </c>
      <c r="L18" s="224">
        <v>0</v>
      </c>
      <c r="M18" s="224">
        <v>46.000000000000064</v>
      </c>
      <c r="N18" s="224">
        <v>20.000000000000018</v>
      </c>
      <c r="O18" s="224">
        <v>0.99999999999999956</v>
      </c>
      <c r="P18" s="224">
        <v>0</v>
      </c>
      <c r="Q18" s="224">
        <v>4.0000000000000036</v>
      </c>
      <c r="R18" s="224">
        <v>0</v>
      </c>
      <c r="S18" s="224">
        <v>0</v>
      </c>
      <c r="T18" s="224">
        <v>0</v>
      </c>
      <c r="U18" s="224">
        <v>0</v>
      </c>
      <c r="V18" s="224">
        <v>0</v>
      </c>
      <c r="W18" s="224">
        <v>0</v>
      </c>
      <c r="X18" s="224">
        <v>0</v>
      </c>
      <c r="Y18" s="224">
        <v>75.384615384615316</v>
      </c>
      <c r="Z18" s="224">
        <v>0</v>
      </c>
      <c r="AA18" s="224">
        <v>37.614678899082584</v>
      </c>
      <c r="AB18" s="224">
        <v>0</v>
      </c>
      <c r="AC18" s="224">
        <v>13.59999999999998</v>
      </c>
      <c r="AD18" s="221">
        <v>0</v>
      </c>
      <c r="AE18" s="230">
        <v>551230.4</v>
      </c>
      <c r="AF18" s="128">
        <v>0</v>
      </c>
      <c r="AG18" s="233">
        <v>0</v>
      </c>
      <c r="AH18" s="240">
        <v>4853.0286000000015</v>
      </c>
      <c r="AI18" s="237">
        <v>0</v>
      </c>
      <c r="AJ18" s="243">
        <v>8121.3948000000019</v>
      </c>
      <c r="AK18" s="251">
        <v>0</v>
      </c>
      <c r="AL18" s="259">
        <v>11895.972600000016</v>
      </c>
      <c r="AM18" s="256">
        <v>6272.6220000000058</v>
      </c>
      <c r="AN18" s="243">
        <v>489.70469999999978</v>
      </c>
      <c r="AO18" s="129">
        <v>0</v>
      </c>
      <c r="AP18" s="129">
        <v>2266.9476000000018</v>
      </c>
      <c r="AQ18" s="129">
        <v>0</v>
      </c>
      <c r="AR18" s="129">
        <v>0</v>
      </c>
      <c r="AS18" s="129">
        <v>0</v>
      </c>
      <c r="AT18" s="129">
        <v>0</v>
      </c>
      <c r="AU18" s="129">
        <v>0</v>
      </c>
      <c r="AV18" s="129">
        <v>0</v>
      </c>
      <c r="AW18" s="129">
        <v>0</v>
      </c>
      <c r="AX18" s="129">
        <v>48945.07476923072</v>
      </c>
      <c r="AY18" s="129">
        <v>0</v>
      </c>
      <c r="AZ18" s="129">
        <v>48430.335963302772</v>
      </c>
      <c r="BA18" s="129">
        <v>0</v>
      </c>
      <c r="BB18" s="129">
        <v>14367.60575999998</v>
      </c>
      <c r="BC18" s="251">
        <v>0</v>
      </c>
      <c r="BD18" s="252"/>
      <c r="BE18" s="252">
        <v>151599.37</v>
      </c>
      <c r="BF18" s="254"/>
      <c r="BG18" s="259">
        <v>0</v>
      </c>
      <c r="BH18" s="256">
        <v>0</v>
      </c>
      <c r="BI18" s="243"/>
      <c r="BJ18" s="129"/>
      <c r="BK18" s="129"/>
      <c r="BL18" s="251">
        <v>551230.4</v>
      </c>
      <c r="BM18" s="259">
        <v>145642.6867925335</v>
      </c>
      <c r="BN18" s="259">
        <v>151599.37</v>
      </c>
      <c r="BO18" s="259">
        <v>86635.144697304611</v>
      </c>
      <c r="BP18" s="136">
        <v>848472.45679253351</v>
      </c>
      <c r="BQ18" s="136">
        <v>848434.37679253332</v>
      </c>
      <c r="BR18" s="267">
        <v>0</v>
      </c>
      <c r="BS18" s="136">
        <v>696835.00679253356</v>
      </c>
      <c r="BT18" s="271">
        <v>4977.3929056609541</v>
      </c>
      <c r="BU18" s="271">
        <v>5058.8221030303039</v>
      </c>
      <c r="BV18" s="275">
        <v>-1.6096473785977297E-2</v>
      </c>
      <c r="BW18" s="275">
        <v>2.1096473785977298E-2</v>
      </c>
      <c r="BX18" s="278">
        <v>14903.183103830199</v>
      </c>
      <c r="BY18" s="288">
        <v>863375.63989636372</v>
      </c>
      <c r="BZ18" s="256">
        <v>0</v>
      </c>
      <c r="CA18" s="263">
        <v>0</v>
      </c>
      <c r="CB18" s="296">
        <v>863375.63989636372</v>
      </c>
      <c r="CC18" s="2"/>
      <c r="CD18" s="521"/>
      <c r="CE18" s="523"/>
      <c r="CF18" s="514"/>
      <c r="CG18" s="100"/>
      <c r="CH18" s="565">
        <v>0</v>
      </c>
      <c r="CI18" s="114">
        <v>0</v>
      </c>
      <c r="CK18" s="111"/>
      <c r="CL18" s="111"/>
      <c r="CM18" s="556"/>
      <c r="CN18" s="560"/>
      <c r="CO18" s="2">
        <v>0</v>
      </c>
      <c r="CP18" s="571"/>
      <c r="CQ18" s="547"/>
      <c r="CR18" s="544"/>
      <c r="CS18" s="114"/>
      <c r="CT18" s="2"/>
    </row>
    <row r="19" spans="1:98" ht="14" x14ac:dyDescent="0.25">
      <c r="A19" s="60">
        <v>3122023</v>
      </c>
      <c r="B19" s="145">
        <v>2023</v>
      </c>
      <c r="C19" s="211" t="s">
        <v>87</v>
      </c>
      <c r="D19" s="217">
        <v>219</v>
      </c>
      <c r="E19" s="224">
        <v>219</v>
      </c>
      <c r="F19" s="224">
        <v>0</v>
      </c>
      <c r="G19" s="224">
        <v>0</v>
      </c>
      <c r="H19" s="224">
        <v>0</v>
      </c>
      <c r="I19" s="224">
        <v>57.000000000000057</v>
      </c>
      <c r="J19" s="221">
        <v>0</v>
      </c>
      <c r="K19" s="214">
        <v>57.000000000000057</v>
      </c>
      <c r="L19" s="224">
        <v>0</v>
      </c>
      <c r="M19" s="224">
        <v>80.999999999999972</v>
      </c>
      <c r="N19" s="224">
        <v>38.000000000000043</v>
      </c>
      <c r="O19" s="224">
        <v>2</v>
      </c>
      <c r="P19" s="224">
        <v>0</v>
      </c>
      <c r="Q19" s="224">
        <v>0</v>
      </c>
      <c r="R19" s="224">
        <v>0</v>
      </c>
      <c r="S19" s="224">
        <v>0</v>
      </c>
      <c r="T19" s="224">
        <v>0</v>
      </c>
      <c r="U19" s="224">
        <v>0</v>
      </c>
      <c r="V19" s="224">
        <v>0</v>
      </c>
      <c r="W19" s="224">
        <v>0</v>
      </c>
      <c r="X19" s="224">
        <v>0</v>
      </c>
      <c r="Y19" s="224">
        <v>13</v>
      </c>
      <c r="Z19" s="224">
        <v>0</v>
      </c>
      <c r="AA19" s="224">
        <v>91.491811272531606</v>
      </c>
      <c r="AB19" s="224">
        <v>0</v>
      </c>
      <c r="AC19" s="224">
        <v>0</v>
      </c>
      <c r="AD19" s="221">
        <v>0</v>
      </c>
      <c r="AE19" s="230">
        <v>862281.84000000008</v>
      </c>
      <c r="AF19" s="128">
        <v>0</v>
      </c>
      <c r="AG19" s="233">
        <v>0</v>
      </c>
      <c r="AH19" s="240">
        <v>30735.847800000032</v>
      </c>
      <c r="AI19" s="237">
        <v>0</v>
      </c>
      <c r="AJ19" s="243">
        <v>51435.500400000055</v>
      </c>
      <c r="AK19" s="251">
        <v>0</v>
      </c>
      <c r="AL19" s="259">
        <v>20947.256099999991</v>
      </c>
      <c r="AM19" s="256">
        <v>11917.981800000014</v>
      </c>
      <c r="AN19" s="243">
        <v>979.40940000000001</v>
      </c>
      <c r="AO19" s="129">
        <v>0</v>
      </c>
      <c r="AP19" s="129">
        <v>0</v>
      </c>
      <c r="AQ19" s="129">
        <v>0</v>
      </c>
      <c r="AR19" s="129">
        <v>0</v>
      </c>
      <c r="AS19" s="129">
        <v>0</v>
      </c>
      <c r="AT19" s="129">
        <v>0</v>
      </c>
      <c r="AU19" s="129">
        <v>0</v>
      </c>
      <c r="AV19" s="129">
        <v>0</v>
      </c>
      <c r="AW19" s="129">
        <v>0</v>
      </c>
      <c r="AX19" s="129">
        <v>8440.5281999999988</v>
      </c>
      <c r="AY19" s="129">
        <v>0</v>
      </c>
      <c r="AZ19" s="129">
        <v>117799.20200057501</v>
      </c>
      <c r="BA19" s="129">
        <v>0</v>
      </c>
      <c r="BB19" s="129">
        <v>0</v>
      </c>
      <c r="BC19" s="251">
        <v>0</v>
      </c>
      <c r="BD19" s="252"/>
      <c r="BE19" s="252">
        <v>151599.37</v>
      </c>
      <c r="BF19" s="254"/>
      <c r="BG19" s="259">
        <v>49489.3</v>
      </c>
      <c r="BH19" s="256">
        <v>6692</v>
      </c>
      <c r="BI19" s="243"/>
      <c r="BJ19" s="129"/>
      <c r="BK19" s="129"/>
      <c r="BL19" s="251">
        <v>862281.84000000008</v>
      </c>
      <c r="BM19" s="259">
        <v>242255.7257005751</v>
      </c>
      <c r="BN19" s="259">
        <v>207780.66999999998</v>
      </c>
      <c r="BO19" s="259">
        <v>185758.63927554054</v>
      </c>
      <c r="BP19" s="136">
        <v>1312318.2357005752</v>
      </c>
      <c r="BQ19" s="136">
        <v>1312258.667700575</v>
      </c>
      <c r="BR19" s="267">
        <v>0</v>
      </c>
      <c r="BS19" s="136">
        <v>1104477.997700575</v>
      </c>
      <c r="BT19" s="271">
        <v>5043.2785283131279</v>
      </c>
      <c r="BU19" s="271">
        <v>4989.6973004219408</v>
      </c>
      <c r="BV19" s="275">
        <v>1.0738372423244231E-2</v>
      </c>
      <c r="BW19" s="275">
        <v>0</v>
      </c>
      <c r="BX19" s="278">
        <v>0</v>
      </c>
      <c r="BY19" s="288">
        <v>1312318.2357005752</v>
      </c>
      <c r="BZ19" s="256">
        <v>-280.32</v>
      </c>
      <c r="CA19" s="263">
        <v>-2393.67</v>
      </c>
      <c r="CB19" s="296">
        <v>1309644.2457005752</v>
      </c>
      <c r="CC19" s="2"/>
      <c r="CD19" s="521"/>
      <c r="CE19" s="523"/>
      <c r="CF19" s="514"/>
      <c r="CG19" s="100"/>
      <c r="CH19" s="565">
        <v>0</v>
      </c>
      <c r="CI19" s="114">
        <v>64942.999999999993</v>
      </c>
      <c r="CK19" s="111">
        <v>84390</v>
      </c>
      <c r="CL19" s="111">
        <v>0</v>
      </c>
      <c r="CM19" s="556">
        <v>2530</v>
      </c>
      <c r="CN19" s="560">
        <v>7654</v>
      </c>
      <c r="CO19" s="2">
        <v>21869.142857142855</v>
      </c>
      <c r="CP19" s="571"/>
      <c r="CQ19" s="547">
        <v>6992.5</v>
      </c>
      <c r="CR19" s="544"/>
      <c r="CS19" s="114"/>
      <c r="CT19" s="2"/>
    </row>
    <row r="20" spans="1:98" ht="14" x14ac:dyDescent="0.25">
      <c r="A20" s="60">
        <v>3122024</v>
      </c>
      <c r="B20" s="145">
        <v>2024</v>
      </c>
      <c r="C20" s="211" t="s">
        <v>85</v>
      </c>
      <c r="D20" s="217">
        <v>143</v>
      </c>
      <c r="E20" s="224">
        <v>143</v>
      </c>
      <c r="F20" s="224">
        <v>0</v>
      </c>
      <c r="G20" s="224">
        <v>0</v>
      </c>
      <c r="H20" s="224">
        <v>0</v>
      </c>
      <c r="I20" s="224">
        <v>24.000000000000025</v>
      </c>
      <c r="J20" s="221">
        <v>0</v>
      </c>
      <c r="K20" s="214">
        <v>24.000000000000025</v>
      </c>
      <c r="L20" s="224">
        <v>0</v>
      </c>
      <c r="M20" s="224">
        <v>64.000000000000057</v>
      </c>
      <c r="N20" s="224">
        <v>23.000000000000021</v>
      </c>
      <c r="O20" s="224">
        <v>2.0000000000000018</v>
      </c>
      <c r="P20" s="224">
        <v>0</v>
      </c>
      <c r="Q20" s="224">
        <v>0</v>
      </c>
      <c r="R20" s="224">
        <v>0</v>
      </c>
      <c r="S20" s="224">
        <v>0</v>
      </c>
      <c r="T20" s="224">
        <v>0</v>
      </c>
      <c r="U20" s="224">
        <v>0</v>
      </c>
      <c r="V20" s="224">
        <v>0</v>
      </c>
      <c r="W20" s="224">
        <v>0</v>
      </c>
      <c r="X20" s="224">
        <v>0</v>
      </c>
      <c r="Y20" s="224">
        <v>23.8333333333334</v>
      </c>
      <c r="Z20" s="224">
        <v>0</v>
      </c>
      <c r="AA20" s="224">
        <v>51.264150943396302</v>
      </c>
      <c r="AB20" s="224">
        <v>0</v>
      </c>
      <c r="AC20" s="224">
        <v>0</v>
      </c>
      <c r="AD20" s="221">
        <v>0</v>
      </c>
      <c r="AE20" s="230">
        <v>563042.48</v>
      </c>
      <c r="AF20" s="128">
        <v>0</v>
      </c>
      <c r="AG20" s="233">
        <v>0</v>
      </c>
      <c r="AH20" s="240">
        <v>12941.409600000014</v>
      </c>
      <c r="AI20" s="237">
        <v>0</v>
      </c>
      <c r="AJ20" s="243">
        <v>21657.052800000023</v>
      </c>
      <c r="AK20" s="251">
        <v>0</v>
      </c>
      <c r="AL20" s="259">
        <v>16550.918400000013</v>
      </c>
      <c r="AM20" s="256">
        <v>7213.5153000000064</v>
      </c>
      <c r="AN20" s="243">
        <v>979.40940000000091</v>
      </c>
      <c r="AO20" s="129">
        <v>0</v>
      </c>
      <c r="AP20" s="129">
        <v>0</v>
      </c>
      <c r="AQ20" s="129">
        <v>0</v>
      </c>
      <c r="AR20" s="129">
        <v>0</v>
      </c>
      <c r="AS20" s="129">
        <v>0</v>
      </c>
      <c r="AT20" s="129">
        <v>0</v>
      </c>
      <c r="AU20" s="129">
        <v>0</v>
      </c>
      <c r="AV20" s="129">
        <v>0</v>
      </c>
      <c r="AW20" s="129">
        <v>0</v>
      </c>
      <c r="AX20" s="129">
        <v>15474.301700000029</v>
      </c>
      <c r="AY20" s="129">
        <v>0</v>
      </c>
      <c r="AZ20" s="129">
        <v>66004.552630188758</v>
      </c>
      <c r="BA20" s="129">
        <v>0</v>
      </c>
      <c r="BB20" s="129">
        <v>0</v>
      </c>
      <c r="BC20" s="251">
        <v>0</v>
      </c>
      <c r="BD20" s="252"/>
      <c r="BE20" s="252">
        <v>151599.37</v>
      </c>
      <c r="BF20" s="254"/>
      <c r="BG20" s="259">
        <v>23359.4375</v>
      </c>
      <c r="BH20" s="256">
        <v>3275.5999999999985</v>
      </c>
      <c r="BI20" s="243"/>
      <c r="BJ20" s="129"/>
      <c r="BK20" s="129"/>
      <c r="BL20" s="251">
        <v>563042.48</v>
      </c>
      <c r="BM20" s="259">
        <v>140821.15983018884</v>
      </c>
      <c r="BN20" s="259">
        <v>178234.4075</v>
      </c>
      <c r="BO20" s="259">
        <v>108803.38859737743</v>
      </c>
      <c r="BP20" s="136">
        <v>882098.0473301888</v>
      </c>
      <c r="BQ20" s="136">
        <v>882059.15133018885</v>
      </c>
      <c r="BR20" s="267">
        <v>0</v>
      </c>
      <c r="BS20" s="136">
        <v>703824.74383018888</v>
      </c>
      <c r="BT20" s="271">
        <v>4921.8513554558658</v>
      </c>
      <c r="BU20" s="271">
        <v>4955.9623024691355</v>
      </c>
      <c r="BV20" s="275">
        <v>-6.8828100238524943E-3</v>
      </c>
      <c r="BW20" s="275">
        <v>1.1882810023852493E-2</v>
      </c>
      <c r="BX20" s="278">
        <v>8382.4824691630001</v>
      </c>
      <c r="BY20" s="288">
        <v>890480.52979935182</v>
      </c>
      <c r="BZ20" s="256">
        <v>-183.04</v>
      </c>
      <c r="CA20" s="263">
        <v>-1562.99</v>
      </c>
      <c r="CB20" s="296">
        <v>888734.49979935179</v>
      </c>
      <c r="CC20" s="2"/>
      <c r="CD20" s="521">
        <f>VLOOKUP(B20,'EYSFF (Universal)'!$A$10:$AC$66,29,0)</f>
        <v>105505.6128</v>
      </c>
      <c r="CE20" s="523">
        <f>VLOOKUP(B20,'EYSFF (Additional)'!$A$11:$AB$57,28,0)</f>
        <v>45630.053120000004</v>
      </c>
      <c r="CF20" s="514"/>
      <c r="CG20" s="100"/>
      <c r="CH20" s="565">
        <v>0</v>
      </c>
      <c r="CI20" s="114">
        <v>29896</v>
      </c>
      <c r="CK20" s="111">
        <v>43650</v>
      </c>
      <c r="CL20" s="111">
        <v>0</v>
      </c>
      <c r="CM20" s="556">
        <v>0</v>
      </c>
      <c r="CN20" s="560">
        <v>7108</v>
      </c>
      <c r="CO20" s="2">
        <v>15313.714285714286</v>
      </c>
      <c r="CP20" s="571">
        <v>38215.65</v>
      </c>
      <c r="CQ20" s="547">
        <v>6439</v>
      </c>
      <c r="CR20" s="544"/>
      <c r="CS20" s="114"/>
      <c r="CT20" s="2"/>
    </row>
    <row r="21" spans="1:98" ht="14" x14ac:dyDescent="0.25">
      <c r="A21" s="60">
        <v>3122025</v>
      </c>
      <c r="B21" s="145">
        <v>2025</v>
      </c>
      <c r="C21" s="211" t="s">
        <v>91</v>
      </c>
      <c r="D21" s="217">
        <v>401</v>
      </c>
      <c r="E21" s="224">
        <v>401</v>
      </c>
      <c r="F21" s="224">
        <v>0</v>
      </c>
      <c r="G21" s="224">
        <v>0</v>
      </c>
      <c r="H21" s="224">
        <v>0</v>
      </c>
      <c r="I21" s="224">
        <v>55.99999999999995</v>
      </c>
      <c r="J21" s="221">
        <v>0</v>
      </c>
      <c r="K21" s="214">
        <v>58.000000000000028</v>
      </c>
      <c r="L21" s="224">
        <v>0</v>
      </c>
      <c r="M21" s="224">
        <v>60.15</v>
      </c>
      <c r="N21" s="224">
        <v>1.0024999999999999</v>
      </c>
      <c r="O21" s="224">
        <v>17.0425</v>
      </c>
      <c r="P21" s="224">
        <v>0</v>
      </c>
      <c r="Q21" s="224">
        <v>0</v>
      </c>
      <c r="R21" s="224">
        <v>0</v>
      </c>
      <c r="S21" s="224">
        <v>0</v>
      </c>
      <c r="T21" s="224">
        <v>0</v>
      </c>
      <c r="U21" s="224">
        <v>0</v>
      </c>
      <c r="V21" s="224">
        <v>0</v>
      </c>
      <c r="W21" s="224">
        <v>0</v>
      </c>
      <c r="X21" s="224">
        <v>0</v>
      </c>
      <c r="Y21" s="224">
        <v>103.48387096774182</v>
      </c>
      <c r="Z21" s="224">
        <v>0</v>
      </c>
      <c r="AA21" s="224">
        <v>186.04790145985396</v>
      </c>
      <c r="AB21" s="224">
        <v>0</v>
      </c>
      <c r="AC21" s="224">
        <v>7.017500000000001</v>
      </c>
      <c r="AD21" s="221">
        <v>0</v>
      </c>
      <c r="AE21" s="230">
        <v>1578881.36</v>
      </c>
      <c r="AF21" s="128">
        <v>0</v>
      </c>
      <c r="AG21" s="233">
        <v>0</v>
      </c>
      <c r="AH21" s="240">
        <v>30196.622399999975</v>
      </c>
      <c r="AI21" s="237">
        <v>0</v>
      </c>
      <c r="AJ21" s="243">
        <v>52337.877600000029</v>
      </c>
      <c r="AK21" s="251">
        <v>0</v>
      </c>
      <c r="AL21" s="259">
        <v>15555.277214999998</v>
      </c>
      <c r="AM21" s="256">
        <v>314.41517775</v>
      </c>
      <c r="AN21" s="243">
        <v>8345.7923497499996</v>
      </c>
      <c r="AO21" s="129">
        <v>0</v>
      </c>
      <c r="AP21" s="129">
        <v>0</v>
      </c>
      <c r="AQ21" s="129">
        <v>0</v>
      </c>
      <c r="AR21" s="129">
        <v>0</v>
      </c>
      <c r="AS21" s="129">
        <v>0</v>
      </c>
      <c r="AT21" s="129">
        <v>0</v>
      </c>
      <c r="AU21" s="129">
        <v>0</v>
      </c>
      <c r="AV21" s="129">
        <v>0</v>
      </c>
      <c r="AW21" s="129">
        <v>0</v>
      </c>
      <c r="AX21" s="129">
        <v>67189.117780645087</v>
      </c>
      <c r="AY21" s="129">
        <v>0</v>
      </c>
      <c r="AZ21" s="129">
        <v>239543.78015939772</v>
      </c>
      <c r="BA21" s="129">
        <v>0</v>
      </c>
      <c r="BB21" s="129">
        <v>7413.5789280000017</v>
      </c>
      <c r="BC21" s="251">
        <v>0</v>
      </c>
      <c r="BD21" s="252"/>
      <c r="BE21" s="252">
        <v>151599.37</v>
      </c>
      <c r="BF21" s="254"/>
      <c r="BG21" s="259">
        <v>76820.800000000003</v>
      </c>
      <c r="BH21" s="256">
        <v>11669</v>
      </c>
      <c r="BI21" s="243"/>
      <c r="BJ21" s="129"/>
      <c r="BK21" s="129"/>
      <c r="BL21" s="251">
        <v>1578881.36</v>
      </c>
      <c r="BM21" s="259">
        <v>420896.46161054278</v>
      </c>
      <c r="BN21" s="259">
        <v>240089.16999999998</v>
      </c>
      <c r="BO21" s="259">
        <v>323403.51626099885</v>
      </c>
      <c r="BP21" s="136">
        <v>2239866.9916105429</v>
      </c>
      <c r="BQ21" s="136">
        <v>2239757.9196105432</v>
      </c>
      <c r="BR21" s="267">
        <v>0</v>
      </c>
      <c r="BS21" s="136">
        <v>1999668.749610543</v>
      </c>
      <c r="BT21" s="271">
        <v>4986.7051112482368</v>
      </c>
      <c r="BU21" s="271">
        <v>4704.7459903846166</v>
      </c>
      <c r="BV21" s="275">
        <v>5.9930785092304178E-2</v>
      </c>
      <c r="BW21" s="275">
        <v>0</v>
      </c>
      <c r="BX21" s="278">
        <v>0</v>
      </c>
      <c r="BY21" s="288">
        <v>2239866.9916105429</v>
      </c>
      <c r="BZ21" s="256">
        <v>-513.28</v>
      </c>
      <c r="CA21" s="263">
        <v>-4382.93</v>
      </c>
      <c r="CB21" s="296">
        <v>2234970.7816105429</v>
      </c>
      <c r="CC21" s="2"/>
      <c r="CD21" s="521">
        <f>VLOOKUP(B21,'EYSFF (Universal)'!$A$10:$AC$66,29,0)</f>
        <v>119802.072</v>
      </c>
      <c r="CE21" s="523"/>
      <c r="CF21" s="514"/>
      <c r="CG21" s="100"/>
      <c r="CH21" s="565">
        <v>0</v>
      </c>
      <c r="CI21" s="114">
        <v>140221.66666666669</v>
      </c>
      <c r="CK21" s="111">
        <v>84390</v>
      </c>
      <c r="CL21" s="111">
        <v>3015</v>
      </c>
      <c r="CM21" s="556">
        <v>2530</v>
      </c>
      <c r="CN21" s="560">
        <v>8221</v>
      </c>
      <c r="CO21" s="2">
        <v>34169.142857142855</v>
      </c>
      <c r="CP21" s="571">
        <v>49031.4</v>
      </c>
      <c r="CQ21" s="547">
        <v>9411.25</v>
      </c>
      <c r="CR21" s="544"/>
      <c r="CS21" s="114"/>
      <c r="CT21" s="2"/>
    </row>
    <row r="22" spans="1:98" ht="14" x14ac:dyDescent="0.25">
      <c r="A22" s="60">
        <v>3122026</v>
      </c>
      <c r="B22" s="145">
        <v>2026</v>
      </c>
      <c r="C22" s="211" t="s">
        <v>93</v>
      </c>
      <c r="D22" s="217">
        <v>191</v>
      </c>
      <c r="E22" s="224">
        <v>191</v>
      </c>
      <c r="F22" s="224">
        <v>0</v>
      </c>
      <c r="G22" s="224">
        <v>0</v>
      </c>
      <c r="H22" s="224">
        <v>0</v>
      </c>
      <c r="I22" s="224">
        <v>47.999999999999957</v>
      </c>
      <c r="J22" s="221">
        <v>0</v>
      </c>
      <c r="K22" s="214">
        <v>47.999999999999957</v>
      </c>
      <c r="L22" s="224">
        <v>0</v>
      </c>
      <c r="M22" s="224">
        <v>96.50526315789476</v>
      </c>
      <c r="N22" s="224">
        <v>34.17894736842112</v>
      </c>
      <c r="O22" s="224">
        <v>0</v>
      </c>
      <c r="P22" s="224">
        <v>19.100000000000001</v>
      </c>
      <c r="Q22" s="224">
        <v>0</v>
      </c>
      <c r="R22" s="224">
        <v>0</v>
      </c>
      <c r="S22" s="224">
        <v>0</v>
      </c>
      <c r="T22" s="224">
        <v>0</v>
      </c>
      <c r="U22" s="224">
        <v>0</v>
      </c>
      <c r="V22" s="224">
        <v>0</v>
      </c>
      <c r="W22" s="224">
        <v>0</v>
      </c>
      <c r="X22" s="224">
        <v>0</v>
      </c>
      <c r="Y22" s="224">
        <v>43.623456790123441</v>
      </c>
      <c r="Z22" s="224">
        <v>0</v>
      </c>
      <c r="AA22" s="224">
        <v>48.480635478439112</v>
      </c>
      <c r="AB22" s="224">
        <v>0</v>
      </c>
      <c r="AC22" s="224">
        <v>5.539999999999992</v>
      </c>
      <c r="AD22" s="221">
        <v>0</v>
      </c>
      <c r="AE22" s="230">
        <v>752035.76</v>
      </c>
      <c r="AF22" s="128">
        <v>0</v>
      </c>
      <c r="AG22" s="233">
        <v>0</v>
      </c>
      <c r="AH22" s="240">
        <v>25882.81919999998</v>
      </c>
      <c r="AI22" s="237">
        <v>0</v>
      </c>
      <c r="AJ22" s="243">
        <v>43314.105599999959</v>
      </c>
      <c r="AK22" s="251">
        <v>0</v>
      </c>
      <c r="AL22" s="259">
        <v>24957.042745263163</v>
      </c>
      <c r="AM22" s="256">
        <v>10719.580860000022</v>
      </c>
      <c r="AN22" s="243">
        <v>0</v>
      </c>
      <c r="AO22" s="129">
        <v>10194.111210000001</v>
      </c>
      <c r="AP22" s="129">
        <v>0</v>
      </c>
      <c r="AQ22" s="129">
        <v>0</v>
      </c>
      <c r="AR22" s="129">
        <v>0</v>
      </c>
      <c r="AS22" s="129">
        <v>0</v>
      </c>
      <c r="AT22" s="129">
        <v>0</v>
      </c>
      <c r="AU22" s="129">
        <v>0</v>
      </c>
      <c r="AV22" s="129">
        <v>0</v>
      </c>
      <c r="AW22" s="129">
        <v>0</v>
      </c>
      <c r="AX22" s="129">
        <v>28323.462862962951</v>
      </c>
      <c r="AY22" s="129">
        <v>0</v>
      </c>
      <c r="AZ22" s="129">
        <v>62420.670138765629</v>
      </c>
      <c r="BA22" s="129">
        <v>0</v>
      </c>
      <c r="BB22" s="129">
        <v>5852.6864639999922</v>
      </c>
      <c r="BC22" s="251">
        <v>0</v>
      </c>
      <c r="BD22" s="252"/>
      <c r="BE22" s="252">
        <v>151599.37</v>
      </c>
      <c r="BF22" s="254"/>
      <c r="BG22" s="259">
        <v>17227.974999999999</v>
      </c>
      <c r="BH22" s="256">
        <v>1484.5</v>
      </c>
      <c r="BI22" s="243"/>
      <c r="BJ22" s="129"/>
      <c r="BK22" s="129"/>
      <c r="BL22" s="251">
        <v>752035.76</v>
      </c>
      <c r="BM22" s="259">
        <v>211664.47908099167</v>
      </c>
      <c r="BN22" s="259">
        <v>170311.845</v>
      </c>
      <c r="BO22" s="259">
        <v>132544.55573082808</v>
      </c>
      <c r="BP22" s="136">
        <v>1134012.0840809918</v>
      </c>
      <c r="BQ22" s="136">
        <v>1133960.132080992</v>
      </c>
      <c r="BR22" s="267">
        <v>0</v>
      </c>
      <c r="BS22" s="136">
        <v>963648.28708099178</v>
      </c>
      <c r="BT22" s="271">
        <v>5045.2789899528361</v>
      </c>
      <c r="BU22" s="271">
        <v>5022.4576515624994</v>
      </c>
      <c r="BV22" s="275">
        <v>4.5438587985379827E-3</v>
      </c>
      <c r="BW22" s="275">
        <v>4.5614120146201739E-4</v>
      </c>
      <c r="BX22" s="278">
        <v>385.61942468772048</v>
      </c>
      <c r="BY22" s="288">
        <v>1134397.7035056795</v>
      </c>
      <c r="BZ22" s="256">
        <v>-244.48000000000002</v>
      </c>
      <c r="CA22" s="263">
        <v>-2087.63</v>
      </c>
      <c r="CB22" s="296">
        <v>1132065.5935056796</v>
      </c>
      <c r="CC22" s="2"/>
      <c r="CD22" s="521">
        <f>VLOOKUP(B22,'EYSFF (Universal)'!$A$10:$AC$66,29,0)</f>
        <v>107790.4422</v>
      </c>
      <c r="CE22" s="523">
        <f>VLOOKUP(B22,'EYSFF (Additional)'!$A$11:$AB$57,28,0)</f>
        <v>20301.495300000002</v>
      </c>
      <c r="CF22" s="514"/>
      <c r="CG22" s="100"/>
      <c r="CH22" s="565">
        <v>0</v>
      </c>
      <c r="CI22" s="114">
        <v>64741</v>
      </c>
      <c r="CK22" s="111">
        <v>74205</v>
      </c>
      <c r="CL22" s="111">
        <v>0</v>
      </c>
      <c r="CM22" s="556">
        <v>5060</v>
      </c>
      <c r="CN22" s="560">
        <v>7342</v>
      </c>
      <c r="CO22" s="2">
        <v>18526.285714285714</v>
      </c>
      <c r="CP22" s="571">
        <v>27399.9</v>
      </c>
      <c r="CQ22" s="547">
        <v>6383.2</v>
      </c>
      <c r="CR22" s="544"/>
      <c r="CS22" s="114"/>
      <c r="CT22" s="2"/>
    </row>
    <row r="23" spans="1:98" ht="14" x14ac:dyDescent="0.25">
      <c r="A23" s="60">
        <v>3122027</v>
      </c>
      <c r="B23" s="145">
        <v>2027</v>
      </c>
      <c r="C23" s="211" t="s">
        <v>116</v>
      </c>
      <c r="D23" s="217">
        <v>600</v>
      </c>
      <c r="E23" s="224">
        <v>600</v>
      </c>
      <c r="F23" s="224">
        <v>0</v>
      </c>
      <c r="G23" s="224">
        <v>0</v>
      </c>
      <c r="H23" s="224">
        <v>0</v>
      </c>
      <c r="I23" s="224">
        <v>46.999999999999979</v>
      </c>
      <c r="J23" s="221">
        <v>0</v>
      </c>
      <c r="K23" s="214">
        <v>46.999999999999979</v>
      </c>
      <c r="L23" s="224">
        <v>0</v>
      </c>
      <c r="M23" s="224">
        <v>167.27879799666121</v>
      </c>
      <c r="N23" s="224">
        <v>64.106844741235207</v>
      </c>
      <c r="O23" s="224">
        <v>4.006677796327212</v>
      </c>
      <c r="P23" s="224">
        <v>4.006677796327212</v>
      </c>
      <c r="Q23" s="224">
        <v>0</v>
      </c>
      <c r="R23" s="224">
        <v>0</v>
      </c>
      <c r="S23" s="224">
        <v>0</v>
      </c>
      <c r="T23" s="224">
        <v>0</v>
      </c>
      <c r="U23" s="224">
        <v>0</v>
      </c>
      <c r="V23" s="224">
        <v>0</v>
      </c>
      <c r="W23" s="224">
        <v>0</v>
      </c>
      <c r="X23" s="224">
        <v>0</v>
      </c>
      <c r="Y23" s="224">
        <v>102.35294117647081</v>
      </c>
      <c r="Z23" s="224">
        <v>0</v>
      </c>
      <c r="AA23" s="224">
        <v>148.29896907216497</v>
      </c>
      <c r="AB23" s="224">
        <v>0</v>
      </c>
      <c r="AC23" s="224">
        <v>0</v>
      </c>
      <c r="AD23" s="221">
        <v>0</v>
      </c>
      <c r="AE23" s="230">
        <v>2362416</v>
      </c>
      <c r="AF23" s="128">
        <v>0</v>
      </c>
      <c r="AG23" s="233">
        <v>0</v>
      </c>
      <c r="AH23" s="240">
        <v>25343.593799999991</v>
      </c>
      <c r="AI23" s="237">
        <v>0</v>
      </c>
      <c r="AJ23" s="243">
        <v>42411.728399999978</v>
      </c>
      <c r="AK23" s="251">
        <v>0</v>
      </c>
      <c r="AL23" s="259">
        <v>43259.652120200357</v>
      </c>
      <c r="AM23" s="256">
        <v>20105.900233722812</v>
      </c>
      <c r="AN23" s="243">
        <v>1962.0889482470784</v>
      </c>
      <c r="AO23" s="129">
        <v>2138.4564941569283</v>
      </c>
      <c r="AP23" s="129">
        <v>0</v>
      </c>
      <c r="AQ23" s="129">
        <v>0</v>
      </c>
      <c r="AR23" s="129">
        <v>0</v>
      </c>
      <c r="AS23" s="129">
        <v>0</v>
      </c>
      <c r="AT23" s="129">
        <v>0</v>
      </c>
      <c r="AU23" s="129">
        <v>0</v>
      </c>
      <c r="AV23" s="129">
        <v>0</v>
      </c>
      <c r="AW23" s="129">
        <v>0</v>
      </c>
      <c r="AX23" s="129">
        <v>66454.837411764849</v>
      </c>
      <c r="AY23" s="129">
        <v>0</v>
      </c>
      <c r="AZ23" s="129">
        <v>190940.58770103095</v>
      </c>
      <c r="BA23" s="129">
        <v>0</v>
      </c>
      <c r="BB23" s="129">
        <v>0</v>
      </c>
      <c r="BC23" s="251">
        <v>0</v>
      </c>
      <c r="BD23" s="252"/>
      <c r="BE23" s="252">
        <v>151599.37</v>
      </c>
      <c r="BF23" s="254"/>
      <c r="BG23" s="259">
        <v>25240</v>
      </c>
      <c r="BH23" s="256">
        <v>0</v>
      </c>
      <c r="BI23" s="243"/>
      <c r="BJ23" s="129"/>
      <c r="BK23" s="129"/>
      <c r="BL23" s="251">
        <v>2362416</v>
      </c>
      <c r="BM23" s="259">
        <v>392616.84510912298</v>
      </c>
      <c r="BN23" s="259">
        <v>176839.37</v>
      </c>
      <c r="BO23" s="259">
        <v>319585.3269173163</v>
      </c>
      <c r="BP23" s="136">
        <v>2931872.2151091229</v>
      </c>
      <c r="BQ23" s="136">
        <v>2931709.0151091232</v>
      </c>
      <c r="BR23" s="267">
        <v>0</v>
      </c>
      <c r="BS23" s="136">
        <v>2754869.6451091231</v>
      </c>
      <c r="BT23" s="271">
        <v>4591.4494085152055</v>
      </c>
      <c r="BU23" s="271">
        <v>4499.406145563139</v>
      </c>
      <c r="BV23" s="275">
        <v>2.0456758064134811E-2</v>
      </c>
      <c r="BW23" s="275">
        <v>0</v>
      </c>
      <c r="BX23" s="278">
        <v>0</v>
      </c>
      <c r="BY23" s="288">
        <v>2931872.2151091229</v>
      </c>
      <c r="BZ23" s="256">
        <v>0</v>
      </c>
      <c r="CA23" s="263">
        <v>0</v>
      </c>
      <c r="CB23" s="296">
        <v>2931872.2151091229</v>
      </c>
      <c r="CC23" s="2"/>
      <c r="CD23" s="521">
        <f>VLOOKUP(B23,'EYSFF (Universal)'!$A$10:$AC$66,29,0)</f>
        <v>145325.60394071147</v>
      </c>
      <c r="CE23" s="523">
        <f>VLOOKUP(B23,'EYSFF (Additional)'!$A$11:$AB$57,28,0)</f>
        <v>59365.524391304352</v>
      </c>
      <c r="CF23" s="514"/>
      <c r="CG23" s="100"/>
      <c r="CH23" s="565">
        <v>0</v>
      </c>
      <c r="CI23" s="114">
        <v>152392.16666666666</v>
      </c>
      <c r="CK23" s="111"/>
      <c r="CL23" s="111"/>
      <c r="CM23" s="556"/>
      <c r="CN23" s="560"/>
      <c r="CO23" s="2">
        <v>0</v>
      </c>
      <c r="CP23" s="571"/>
      <c r="CQ23" s="547"/>
      <c r="CR23" s="544"/>
      <c r="CS23" s="114"/>
      <c r="CT23" s="2"/>
    </row>
    <row r="24" spans="1:98" ht="14" x14ac:dyDescent="0.25">
      <c r="A24" s="60">
        <v>3122028</v>
      </c>
      <c r="B24" s="145">
        <v>2028</v>
      </c>
      <c r="C24" s="211" t="s">
        <v>120</v>
      </c>
      <c r="D24" s="217">
        <v>632</v>
      </c>
      <c r="E24" s="224">
        <v>632</v>
      </c>
      <c r="F24" s="224">
        <v>0</v>
      </c>
      <c r="G24" s="224">
        <v>0</v>
      </c>
      <c r="H24" s="224">
        <v>0</v>
      </c>
      <c r="I24" s="224">
        <v>165.99999999999983</v>
      </c>
      <c r="J24" s="221">
        <v>0</v>
      </c>
      <c r="K24" s="214">
        <v>170.00000000000006</v>
      </c>
      <c r="L24" s="224">
        <v>0</v>
      </c>
      <c r="M24" s="224">
        <v>151.99999999999997</v>
      </c>
      <c r="N24" s="224">
        <v>227.99999999999994</v>
      </c>
      <c r="O24" s="224">
        <v>1.0000000000000011</v>
      </c>
      <c r="P24" s="224">
        <v>0</v>
      </c>
      <c r="Q24" s="224">
        <v>0</v>
      </c>
      <c r="R24" s="224">
        <v>0</v>
      </c>
      <c r="S24" s="224">
        <v>0</v>
      </c>
      <c r="T24" s="224">
        <v>0</v>
      </c>
      <c r="U24" s="224">
        <v>0</v>
      </c>
      <c r="V24" s="224">
        <v>0</v>
      </c>
      <c r="W24" s="224">
        <v>0</v>
      </c>
      <c r="X24" s="224">
        <v>0</v>
      </c>
      <c r="Y24" s="224">
        <v>251.4033149171272</v>
      </c>
      <c r="Z24" s="224">
        <v>0</v>
      </c>
      <c r="AA24" s="224">
        <v>189.64827462257381</v>
      </c>
      <c r="AB24" s="224">
        <v>0</v>
      </c>
      <c r="AC24" s="224">
        <v>26.385246422893751</v>
      </c>
      <c r="AD24" s="221">
        <v>0</v>
      </c>
      <c r="AE24" s="230">
        <v>2488411.52</v>
      </c>
      <c r="AF24" s="128">
        <v>0</v>
      </c>
      <c r="AG24" s="233">
        <v>0</v>
      </c>
      <c r="AH24" s="240">
        <v>89511.416399999915</v>
      </c>
      <c r="AI24" s="237">
        <v>0</v>
      </c>
      <c r="AJ24" s="243">
        <v>153404.12400000004</v>
      </c>
      <c r="AK24" s="251">
        <v>0</v>
      </c>
      <c r="AL24" s="259">
        <v>39308.431199999992</v>
      </c>
      <c r="AM24" s="256">
        <v>71507.890799999979</v>
      </c>
      <c r="AN24" s="243">
        <v>489.70470000000057</v>
      </c>
      <c r="AO24" s="129">
        <v>0</v>
      </c>
      <c r="AP24" s="129">
        <v>0</v>
      </c>
      <c r="AQ24" s="129">
        <v>0</v>
      </c>
      <c r="AR24" s="129">
        <v>0</v>
      </c>
      <c r="AS24" s="129">
        <v>0</v>
      </c>
      <c r="AT24" s="129">
        <v>0</v>
      </c>
      <c r="AU24" s="129">
        <v>0</v>
      </c>
      <c r="AV24" s="129">
        <v>0</v>
      </c>
      <c r="AW24" s="129">
        <v>0</v>
      </c>
      <c r="AX24" s="129">
        <v>163228.98224088407</v>
      </c>
      <c r="AY24" s="129">
        <v>0</v>
      </c>
      <c r="AZ24" s="129">
        <v>244179.39814065435</v>
      </c>
      <c r="BA24" s="129">
        <v>0</v>
      </c>
      <c r="BB24" s="129">
        <v>27874.471947396152</v>
      </c>
      <c r="BC24" s="251">
        <v>0</v>
      </c>
      <c r="BD24" s="252"/>
      <c r="BE24" s="252">
        <v>151599.37</v>
      </c>
      <c r="BF24" s="254"/>
      <c r="BG24" s="259">
        <v>22706</v>
      </c>
      <c r="BH24" s="256">
        <v>0</v>
      </c>
      <c r="BI24" s="243"/>
      <c r="BJ24" s="129"/>
      <c r="BK24" s="129"/>
      <c r="BL24" s="251">
        <v>2488411.52</v>
      </c>
      <c r="BM24" s="259">
        <v>789504.41942893446</v>
      </c>
      <c r="BN24" s="259">
        <v>174305.37</v>
      </c>
      <c r="BO24" s="259">
        <v>448857.59842774639</v>
      </c>
      <c r="BP24" s="136">
        <v>3452221.3094289345</v>
      </c>
      <c r="BQ24" s="136">
        <v>3452049.4054289348</v>
      </c>
      <c r="BR24" s="267">
        <v>0</v>
      </c>
      <c r="BS24" s="136">
        <v>3277744.0354289343</v>
      </c>
      <c r="BT24" s="271">
        <v>5186.3038535267951</v>
      </c>
      <c r="BU24" s="271">
        <v>5210.969190599676</v>
      </c>
      <c r="BV24" s="275">
        <v>-4.7333492428579156E-3</v>
      </c>
      <c r="BW24" s="275">
        <v>9.7333492428579166E-3</v>
      </c>
      <c r="BX24" s="278">
        <v>31883.251672355749</v>
      </c>
      <c r="BY24" s="288">
        <v>3484104.5611012904</v>
      </c>
      <c r="BZ24" s="256">
        <v>0</v>
      </c>
      <c r="CA24" s="263">
        <v>0</v>
      </c>
      <c r="CB24" s="296">
        <v>3484104.5611012904</v>
      </c>
      <c r="CC24" s="2"/>
      <c r="CD24" s="521">
        <f>VLOOKUP(B24,'EYSFF (Universal)'!$A$10:$AC$66,29,0)</f>
        <v>219360.50700000001</v>
      </c>
      <c r="CE24" s="523">
        <f>VLOOKUP(B24,'EYSFF (Additional)'!$A$11:$AB$57,28,0)</f>
        <v>14612.154</v>
      </c>
      <c r="CF24" s="514"/>
      <c r="CG24" s="100"/>
      <c r="CH24" s="565">
        <v>78000</v>
      </c>
      <c r="CI24" s="114">
        <v>344713</v>
      </c>
      <c r="CK24" s="111"/>
      <c r="CL24" s="111"/>
      <c r="CM24" s="556"/>
      <c r="CN24" s="560"/>
      <c r="CO24" s="2">
        <v>0</v>
      </c>
      <c r="CP24" s="571"/>
      <c r="CQ24" s="547"/>
      <c r="CR24" s="544"/>
      <c r="CS24" s="114"/>
      <c r="CT24" s="2"/>
    </row>
    <row r="25" spans="1:98" ht="14" x14ac:dyDescent="0.25">
      <c r="A25" s="60">
        <v>3122029</v>
      </c>
      <c r="B25" s="145">
        <v>2029</v>
      </c>
      <c r="C25" s="211" t="s">
        <v>100</v>
      </c>
      <c r="D25" s="217">
        <v>389</v>
      </c>
      <c r="E25" s="224">
        <v>389</v>
      </c>
      <c r="F25" s="224">
        <v>0</v>
      </c>
      <c r="G25" s="224">
        <v>0</v>
      </c>
      <c r="H25" s="224">
        <v>0</v>
      </c>
      <c r="I25" s="224">
        <v>85.000000000000028</v>
      </c>
      <c r="J25" s="221">
        <v>0</v>
      </c>
      <c r="K25" s="214">
        <v>85.000000000000028</v>
      </c>
      <c r="L25" s="224">
        <v>0</v>
      </c>
      <c r="M25" s="224">
        <v>140.99999999999983</v>
      </c>
      <c r="N25" s="224">
        <v>98.999999999999872</v>
      </c>
      <c r="O25" s="224">
        <v>2.0000000000000009</v>
      </c>
      <c r="P25" s="224">
        <v>3.0000000000000013</v>
      </c>
      <c r="Q25" s="224">
        <v>1.0000000000000004</v>
      </c>
      <c r="R25" s="224">
        <v>0</v>
      </c>
      <c r="S25" s="224">
        <v>0</v>
      </c>
      <c r="T25" s="224">
        <v>0</v>
      </c>
      <c r="U25" s="224">
        <v>0</v>
      </c>
      <c r="V25" s="224">
        <v>0</v>
      </c>
      <c r="W25" s="224">
        <v>0</v>
      </c>
      <c r="X25" s="224">
        <v>0</v>
      </c>
      <c r="Y25" s="224">
        <v>98.421686746987916</v>
      </c>
      <c r="Z25" s="224">
        <v>0</v>
      </c>
      <c r="AA25" s="224">
        <v>124.28818923871408</v>
      </c>
      <c r="AB25" s="224">
        <v>0</v>
      </c>
      <c r="AC25" s="224">
        <v>13.755360824742251</v>
      </c>
      <c r="AD25" s="221">
        <v>0</v>
      </c>
      <c r="AE25" s="230">
        <v>1531633.04</v>
      </c>
      <c r="AF25" s="128">
        <v>0</v>
      </c>
      <c r="AG25" s="233">
        <v>0</v>
      </c>
      <c r="AH25" s="240">
        <v>45834.159000000021</v>
      </c>
      <c r="AI25" s="237">
        <v>0</v>
      </c>
      <c r="AJ25" s="243">
        <v>76702.06200000002</v>
      </c>
      <c r="AK25" s="251">
        <v>0</v>
      </c>
      <c r="AL25" s="259">
        <v>36463.742099999952</v>
      </c>
      <c r="AM25" s="256">
        <v>31049.478899999962</v>
      </c>
      <c r="AN25" s="243">
        <v>979.40940000000046</v>
      </c>
      <c r="AO25" s="129">
        <v>1601.1693000000009</v>
      </c>
      <c r="AP25" s="129">
        <v>566.73690000000022</v>
      </c>
      <c r="AQ25" s="129">
        <v>0</v>
      </c>
      <c r="AR25" s="129">
        <v>0</v>
      </c>
      <c r="AS25" s="129">
        <v>0</v>
      </c>
      <c r="AT25" s="129">
        <v>0</v>
      </c>
      <c r="AU25" s="129">
        <v>0</v>
      </c>
      <c r="AV25" s="129">
        <v>0</v>
      </c>
      <c r="AW25" s="129">
        <v>0</v>
      </c>
      <c r="AX25" s="129">
        <v>63902.386344578284</v>
      </c>
      <c r="AY25" s="129">
        <v>0</v>
      </c>
      <c r="AZ25" s="129">
        <v>160025.7914536733</v>
      </c>
      <c r="BA25" s="129">
        <v>0</v>
      </c>
      <c r="BB25" s="129">
        <v>14531.735398268025</v>
      </c>
      <c r="BC25" s="251">
        <v>0</v>
      </c>
      <c r="BD25" s="252"/>
      <c r="BE25" s="252">
        <v>151599.37</v>
      </c>
      <c r="BF25" s="254"/>
      <c r="BG25" s="259">
        <v>57988</v>
      </c>
      <c r="BH25" s="256">
        <v>9456.8999999999942</v>
      </c>
      <c r="BI25" s="243"/>
      <c r="BJ25" s="129"/>
      <c r="BK25" s="129"/>
      <c r="BL25" s="251">
        <v>1531633.04</v>
      </c>
      <c r="BM25" s="259">
        <v>431656.67079651955</v>
      </c>
      <c r="BN25" s="259">
        <v>219044.27</v>
      </c>
      <c r="BO25" s="259">
        <v>280101.09183814109</v>
      </c>
      <c r="BP25" s="136">
        <v>2182333.9807965197</v>
      </c>
      <c r="BQ25" s="136">
        <v>2182228.1727965195</v>
      </c>
      <c r="BR25" s="267">
        <v>0</v>
      </c>
      <c r="BS25" s="136">
        <v>1963183.9027965195</v>
      </c>
      <c r="BT25" s="271">
        <v>5046.7452514049346</v>
      </c>
      <c r="BU25" s="271">
        <v>5000.5774629722919</v>
      </c>
      <c r="BV25" s="275">
        <v>9.2324914021431996E-3</v>
      </c>
      <c r="BW25" s="275">
        <v>0</v>
      </c>
      <c r="BX25" s="278">
        <v>0</v>
      </c>
      <c r="BY25" s="288">
        <v>2182333.9807965197</v>
      </c>
      <c r="BZ25" s="256">
        <v>-497.92</v>
      </c>
      <c r="CA25" s="263">
        <v>-4251.7699999999995</v>
      </c>
      <c r="CB25" s="296">
        <v>2177584.2907965197</v>
      </c>
      <c r="CC25" s="2"/>
      <c r="CD25" s="521">
        <f>VLOOKUP(B25,'EYSFF (Universal)'!$A$10:$AC$66,29,0)</f>
        <v>105829.9725</v>
      </c>
      <c r="CE25" s="523">
        <f>VLOOKUP(B25,'EYSFF (Additional)'!$A$11:$AB$57,28,0)</f>
        <v>26946.623250000001</v>
      </c>
      <c r="CF25" s="514"/>
      <c r="CG25" s="100"/>
      <c r="CH25" s="565">
        <v>0</v>
      </c>
      <c r="CI25" s="114">
        <v>89991</v>
      </c>
      <c r="CK25" s="111">
        <v>141135</v>
      </c>
      <c r="CL25" s="111">
        <v>0</v>
      </c>
      <c r="CM25" s="556">
        <v>5060</v>
      </c>
      <c r="CN25" s="560">
        <v>8067</v>
      </c>
      <c r="CO25" s="2">
        <v>35101.71428571429</v>
      </c>
      <c r="CP25" s="571">
        <v>59847.15</v>
      </c>
      <c r="CQ25" s="547">
        <v>8684.5</v>
      </c>
      <c r="CR25" s="544"/>
      <c r="CS25" s="114"/>
      <c r="CT25" s="2"/>
    </row>
    <row r="26" spans="1:98" ht="14" x14ac:dyDescent="0.25">
      <c r="A26" s="60">
        <v>3122032</v>
      </c>
      <c r="B26" s="145">
        <v>2032</v>
      </c>
      <c r="C26" s="211" t="s">
        <v>118</v>
      </c>
      <c r="D26" s="217">
        <v>556</v>
      </c>
      <c r="E26" s="224">
        <v>556</v>
      </c>
      <c r="F26" s="224">
        <v>0</v>
      </c>
      <c r="G26" s="224">
        <v>0</v>
      </c>
      <c r="H26" s="224">
        <v>0</v>
      </c>
      <c r="I26" s="224">
        <v>88.999999999999915</v>
      </c>
      <c r="J26" s="221">
        <v>0</v>
      </c>
      <c r="K26" s="214">
        <v>95.000000000000014</v>
      </c>
      <c r="L26" s="224">
        <v>0</v>
      </c>
      <c r="M26" s="224">
        <v>19.034234234234212</v>
      </c>
      <c r="N26" s="224">
        <v>4.0072072072072089</v>
      </c>
      <c r="O26" s="224">
        <v>2.0036036036036018</v>
      </c>
      <c r="P26" s="224">
        <v>0</v>
      </c>
      <c r="Q26" s="224">
        <v>0</v>
      </c>
      <c r="R26" s="224">
        <v>0</v>
      </c>
      <c r="S26" s="224">
        <v>0</v>
      </c>
      <c r="T26" s="224">
        <v>0</v>
      </c>
      <c r="U26" s="224">
        <v>0</v>
      </c>
      <c r="V26" s="224">
        <v>0</v>
      </c>
      <c r="W26" s="224">
        <v>0</v>
      </c>
      <c r="X26" s="224">
        <v>0</v>
      </c>
      <c r="Y26" s="224">
        <v>71.704016913319052</v>
      </c>
      <c r="Z26" s="224">
        <v>0</v>
      </c>
      <c r="AA26" s="224">
        <v>125.2637490081181</v>
      </c>
      <c r="AB26" s="224">
        <v>0</v>
      </c>
      <c r="AC26" s="224">
        <v>0</v>
      </c>
      <c r="AD26" s="221">
        <v>0</v>
      </c>
      <c r="AE26" s="230">
        <v>2189172.16</v>
      </c>
      <c r="AF26" s="128">
        <v>0</v>
      </c>
      <c r="AG26" s="233">
        <v>0</v>
      </c>
      <c r="AH26" s="240">
        <v>47991.060599999961</v>
      </c>
      <c r="AI26" s="237">
        <v>0</v>
      </c>
      <c r="AJ26" s="243">
        <v>85725.834000000017</v>
      </c>
      <c r="AK26" s="251">
        <v>0</v>
      </c>
      <c r="AL26" s="259">
        <v>4922.4071502702645</v>
      </c>
      <c r="AM26" s="256">
        <v>1256.7848043243248</v>
      </c>
      <c r="AN26" s="243">
        <v>981.17410162162071</v>
      </c>
      <c r="AO26" s="129">
        <v>0</v>
      </c>
      <c r="AP26" s="129">
        <v>0</v>
      </c>
      <c r="AQ26" s="129">
        <v>0</v>
      </c>
      <c r="AR26" s="129">
        <v>0</v>
      </c>
      <c r="AS26" s="129">
        <v>0</v>
      </c>
      <c r="AT26" s="129">
        <v>0</v>
      </c>
      <c r="AU26" s="129">
        <v>0</v>
      </c>
      <c r="AV26" s="129">
        <v>0</v>
      </c>
      <c r="AW26" s="129">
        <v>0</v>
      </c>
      <c r="AX26" s="129">
        <v>46555.367446934339</v>
      </c>
      <c r="AY26" s="129">
        <v>0</v>
      </c>
      <c r="AZ26" s="129">
        <v>161281.86192316416</v>
      </c>
      <c r="BA26" s="129">
        <v>0</v>
      </c>
      <c r="BB26" s="129">
        <v>0</v>
      </c>
      <c r="BC26" s="251">
        <v>0</v>
      </c>
      <c r="BD26" s="252"/>
      <c r="BE26" s="252">
        <v>151599.37</v>
      </c>
      <c r="BF26" s="254"/>
      <c r="BG26" s="259">
        <v>46071.199999999997</v>
      </c>
      <c r="BH26" s="256">
        <v>23863.9</v>
      </c>
      <c r="BI26" s="243"/>
      <c r="BJ26" s="129"/>
      <c r="BK26" s="129"/>
      <c r="BL26" s="251">
        <v>2189172.16</v>
      </c>
      <c r="BM26" s="259">
        <v>348714.49002631468</v>
      </c>
      <c r="BN26" s="259">
        <v>221534.47</v>
      </c>
      <c r="BO26" s="259">
        <v>277823.11468307162</v>
      </c>
      <c r="BP26" s="136">
        <v>2759421.1200263151</v>
      </c>
      <c r="BQ26" s="136">
        <v>2759269.8880263153</v>
      </c>
      <c r="BR26" s="267">
        <v>0</v>
      </c>
      <c r="BS26" s="136">
        <v>2537735.418026315</v>
      </c>
      <c r="BT26" s="271">
        <v>4564.2723345797031</v>
      </c>
      <c r="BU26" s="271">
        <v>4625.9064033687928</v>
      </c>
      <c r="BV26" s="275">
        <v>-1.3323673981861161E-2</v>
      </c>
      <c r="BW26" s="275">
        <v>1.832367398186116E-2</v>
      </c>
      <c r="BX26" s="278">
        <v>46977.330048099167</v>
      </c>
      <c r="BY26" s="288">
        <v>2806398.4500744143</v>
      </c>
      <c r="BZ26" s="256">
        <v>-711.68000000000006</v>
      </c>
      <c r="CA26" s="263">
        <v>-6077.08</v>
      </c>
      <c r="CB26" s="296">
        <v>2799609.690074414</v>
      </c>
      <c r="CC26" s="2"/>
      <c r="CD26" s="521">
        <f>VLOOKUP(B26,'EYSFF (Universal)'!$A$10:$AC$66,29,0)</f>
        <v>200120.95478902227</v>
      </c>
      <c r="CE26" s="523">
        <f>VLOOKUP(B26,'EYSFF (Additional)'!$A$11:$AB$57,28,0)</f>
        <v>77422.465636363631</v>
      </c>
      <c r="CF26" s="514"/>
      <c r="CG26" s="100"/>
      <c r="CH26" s="565">
        <v>0</v>
      </c>
      <c r="CI26" s="114">
        <v>65448</v>
      </c>
      <c r="CK26" s="111">
        <v>141135</v>
      </c>
      <c r="CL26" s="111">
        <v>335</v>
      </c>
      <c r="CM26" s="556">
        <v>2530</v>
      </c>
      <c r="CN26" s="560">
        <v>8742</v>
      </c>
      <c r="CO26" s="2">
        <v>46400.571428571428</v>
      </c>
      <c r="CP26" s="571">
        <v>85804.95</v>
      </c>
      <c r="CQ26" s="547">
        <v>11044.75</v>
      </c>
      <c r="CR26" s="544"/>
      <c r="CS26" s="114"/>
      <c r="CT26" s="2"/>
    </row>
    <row r="27" spans="1:98" ht="14" x14ac:dyDescent="0.25">
      <c r="A27" s="60">
        <v>3122035</v>
      </c>
      <c r="B27" s="145">
        <v>2035</v>
      </c>
      <c r="C27" s="211" t="s">
        <v>159</v>
      </c>
      <c r="D27" s="217">
        <v>248</v>
      </c>
      <c r="E27" s="224">
        <v>248</v>
      </c>
      <c r="F27" s="224">
        <v>0</v>
      </c>
      <c r="G27" s="224">
        <v>0</v>
      </c>
      <c r="H27" s="224">
        <v>0</v>
      </c>
      <c r="I27" s="224">
        <v>78.999999999999957</v>
      </c>
      <c r="J27" s="221">
        <v>0</v>
      </c>
      <c r="K27" s="214">
        <v>80.999999999999886</v>
      </c>
      <c r="L27" s="224">
        <v>0</v>
      </c>
      <c r="M27" s="224">
        <v>30.121457489878665</v>
      </c>
      <c r="N27" s="224">
        <v>131.53036437246973</v>
      </c>
      <c r="O27" s="224">
        <v>5.0202429149797609</v>
      </c>
      <c r="P27" s="224">
        <v>38.153846153846189</v>
      </c>
      <c r="Q27" s="224">
        <v>0</v>
      </c>
      <c r="R27" s="224">
        <v>0</v>
      </c>
      <c r="S27" s="224">
        <v>0</v>
      </c>
      <c r="T27" s="224">
        <v>0</v>
      </c>
      <c r="U27" s="224">
        <v>0</v>
      </c>
      <c r="V27" s="224">
        <v>0</v>
      </c>
      <c r="W27" s="224">
        <v>0</v>
      </c>
      <c r="X27" s="224">
        <v>0</v>
      </c>
      <c r="Y27" s="224">
        <v>38.0701754385966</v>
      </c>
      <c r="Z27" s="224">
        <v>0</v>
      </c>
      <c r="AA27" s="224">
        <v>101.20027341079975</v>
      </c>
      <c r="AB27" s="224">
        <v>0</v>
      </c>
      <c r="AC27" s="224">
        <v>7.1199999999999912</v>
      </c>
      <c r="AD27" s="221">
        <v>0</v>
      </c>
      <c r="AE27" s="230">
        <v>976465.28</v>
      </c>
      <c r="AF27" s="128">
        <v>0</v>
      </c>
      <c r="AG27" s="233">
        <v>0</v>
      </c>
      <c r="AH27" s="240">
        <v>42598.806599999982</v>
      </c>
      <c r="AI27" s="237">
        <v>0</v>
      </c>
      <c r="AJ27" s="243">
        <v>73092.553199999893</v>
      </c>
      <c r="AK27" s="251">
        <v>0</v>
      </c>
      <c r="AL27" s="259">
        <v>7789.6528906882904</v>
      </c>
      <c r="AM27" s="256">
        <v>41252.012861538489</v>
      </c>
      <c r="AN27" s="243">
        <v>2458.4365506072895</v>
      </c>
      <c r="AO27" s="129">
        <v>20363.589046153866</v>
      </c>
      <c r="AP27" s="129">
        <v>0</v>
      </c>
      <c r="AQ27" s="129">
        <v>0</v>
      </c>
      <c r="AR27" s="129">
        <v>0</v>
      </c>
      <c r="AS27" s="129">
        <v>0</v>
      </c>
      <c r="AT27" s="129">
        <v>0</v>
      </c>
      <c r="AU27" s="129">
        <v>0</v>
      </c>
      <c r="AV27" s="129">
        <v>0</v>
      </c>
      <c r="AW27" s="129">
        <v>0</v>
      </c>
      <c r="AX27" s="129">
        <v>24717.876105263229</v>
      </c>
      <c r="AY27" s="129">
        <v>0</v>
      </c>
      <c r="AZ27" s="129">
        <v>130299.21786684897</v>
      </c>
      <c r="BA27" s="129">
        <v>0</v>
      </c>
      <c r="BB27" s="129">
        <v>7521.8641919999918</v>
      </c>
      <c r="BC27" s="251">
        <v>0</v>
      </c>
      <c r="BD27" s="252"/>
      <c r="BE27" s="252">
        <v>151599.37</v>
      </c>
      <c r="BF27" s="254"/>
      <c r="BG27" s="259">
        <v>10772</v>
      </c>
      <c r="BH27" s="256">
        <v>0</v>
      </c>
      <c r="BI27" s="243"/>
      <c r="BJ27" s="129"/>
      <c r="BK27" s="129"/>
      <c r="BL27" s="251">
        <v>976465.28</v>
      </c>
      <c r="BM27" s="259">
        <v>350094.00931309996</v>
      </c>
      <c r="BN27" s="259">
        <v>162371.37</v>
      </c>
      <c r="BO27" s="259">
        <v>229827.43716644254</v>
      </c>
      <c r="BP27" s="136">
        <v>1488930.6593130999</v>
      </c>
      <c r="BQ27" s="136">
        <v>1488863.2033130997</v>
      </c>
      <c r="BR27" s="267">
        <v>0</v>
      </c>
      <c r="BS27" s="136">
        <v>1326491.8333131</v>
      </c>
      <c r="BT27" s="271">
        <v>5348.7573923915324</v>
      </c>
      <c r="BU27" s="271">
        <v>5427.2356451827245</v>
      </c>
      <c r="BV27" s="275">
        <v>-1.4460078375415714E-2</v>
      </c>
      <c r="BW27" s="275">
        <v>1.9460078375415715E-2</v>
      </c>
      <c r="BX27" s="278">
        <v>26124.922892242452</v>
      </c>
      <c r="BY27" s="288">
        <v>1515055.5822053424</v>
      </c>
      <c r="BZ27" s="256">
        <v>0</v>
      </c>
      <c r="CA27" s="263">
        <v>0</v>
      </c>
      <c r="CB27" s="296">
        <v>1515055.5822053424</v>
      </c>
      <c r="CC27" s="2"/>
      <c r="CD27" s="521">
        <f>VLOOKUP(B27,'EYSFF (Universal)'!$A$10:$AC$66,29,0)</f>
        <v>45021.116999999998</v>
      </c>
      <c r="CE27" s="523">
        <f>VLOOKUP(B27,'EYSFF (Additional)'!$A$11:$AB$57,28,0)</f>
        <v>8071.5149999999994</v>
      </c>
      <c r="CF27" s="514"/>
      <c r="CG27" s="100"/>
      <c r="CH27" s="565">
        <v>72000</v>
      </c>
      <c r="CI27" s="114">
        <v>276791.17333333334</v>
      </c>
      <c r="CK27" s="111"/>
      <c r="CL27" s="111"/>
      <c r="CM27" s="556"/>
      <c r="CN27" s="560"/>
      <c r="CO27" s="2">
        <v>0</v>
      </c>
      <c r="CP27" s="571"/>
      <c r="CQ27" s="547"/>
      <c r="CR27" s="544"/>
      <c r="CS27" s="114"/>
      <c r="CT27" s="2"/>
    </row>
    <row r="28" spans="1:98" ht="14" x14ac:dyDescent="0.25">
      <c r="A28" s="60">
        <v>3122036</v>
      </c>
      <c r="B28" s="145">
        <v>2036</v>
      </c>
      <c r="C28" s="211" t="s">
        <v>126</v>
      </c>
      <c r="D28" s="217">
        <v>413</v>
      </c>
      <c r="E28" s="224">
        <v>413</v>
      </c>
      <c r="F28" s="224">
        <v>0</v>
      </c>
      <c r="G28" s="224">
        <v>0</v>
      </c>
      <c r="H28" s="224">
        <v>0</v>
      </c>
      <c r="I28" s="224">
        <v>167.00000000000006</v>
      </c>
      <c r="J28" s="221">
        <v>0</v>
      </c>
      <c r="K28" s="214">
        <v>170.00000000000011</v>
      </c>
      <c r="L28" s="224">
        <v>0</v>
      </c>
      <c r="M28" s="224">
        <v>137.99999999999997</v>
      </c>
      <c r="N28" s="224">
        <v>186.00000000000003</v>
      </c>
      <c r="O28" s="224">
        <v>1.0000000000000007</v>
      </c>
      <c r="P28" s="224">
        <v>2.0000000000000013</v>
      </c>
      <c r="Q28" s="224">
        <v>0</v>
      </c>
      <c r="R28" s="224">
        <v>0</v>
      </c>
      <c r="S28" s="224">
        <v>0</v>
      </c>
      <c r="T28" s="224">
        <v>0</v>
      </c>
      <c r="U28" s="224">
        <v>0</v>
      </c>
      <c r="V28" s="224">
        <v>0</v>
      </c>
      <c r="W28" s="224">
        <v>0</v>
      </c>
      <c r="X28" s="224">
        <v>0</v>
      </c>
      <c r="Y28" s="224">
        <v>147.0000000000002</v>
      </c>
      <c r="Z28" s="224">
        <v>0</v>
      </c>
      <c r="AA28" s="224">
        <v>121.641314411845</v>
      </c>
      <c r="AB28" s="224">
        <v>0</v>
      </c>
      <c r="AC28" s="224">
        <v>10.3049514563107</v>
      </c>
      <c r="AD28" s="221">
        <v>0</v>
      </c>
      <c r="AE28" s="230">
        <v>1626129.6800000002</v>
      </c>
      <c r="AF28" s="128">
        <v>0</v>
      </c>
      <c r="AG28" s="233">
        <v>0</v>
      </c>
      <c r="AH28" s="240">
        <v>90050.641800000041</v>
      </c>
      <c r="AI28" s="237">
        <v>0</v>
      </c>
      <c r="AJ28" s="243">
        <v>153404.1240000001</v>
      </c>
      <c r="AK28" s="251">
        <v>0</v>
      </c>
      <c r="AL28" s="259">
        <v>35687.917799999988</v>
      </c>
      <c r="AM28" s="256">
        <v>58335.384600000012</v>
      </c>
      <c r="AN28" s="243">
        <v>489.70470000000034</v>
      </c>
      <c r="AO28" s="129">
        <v>1067.4462000000008</v>
      </c>
      <c r="AP28" s="129">
        <v>0</v>
      </c>
      <c r="AQ28" s="129">
        <v>0</v>
      </c>
      <c r="AR28" s="129">
        <v>0</v>
      </c>
      <c r="AS28" s="129">
        <v>0</v>
      </c>
      <c r="AT28" s="129">
        <v>0</v>
      </c>
      <c r="AU28" s="129">
        <v>0</v>
      </c>
      <c r="AV28" s="129">
        <v>0</v>
      </c>
      <c r="AW28" s="129">
        <v>0</v>
      </c>
      <c r="AX28" s="129">
        <v>95442.895800000129</v>
      </c>
      <c r="AY28" s="129">
        <v>0</v>
      </c>
      <c r="AZ28" s="129">
        <v>156617.83900346127</v>
      </c>
      <c r="BA28" s="129">
        <v>0</v>
      </c>
      <c r="BB28" s="129">
        <v>10886.579404427182</v>
      </c>
      <c r="BC28" s="251">
        <v>0</v>
      </c>
      <c r="BD28" s="252"/>
      <c r="BE28" s="252">
        <v>151599.37</v>
      </c>
      <c r="BF28" s="254"/>
      <c r="BG28" s="259">
        <v>31920</v>
      </c>
      <c r="BH28" s="256">
        <v>7714</v>
      </c>
      <c r="BI28" s="243"/>
      <c r="BJ28" s="129"/>
      <c r="BK28" s="129"/>
      <c r="BL28" s="251">
        <v>1626129.6800000002</v>
      </c>
      <c r="BM28" s="259">
        <v>601982.53330788866</v>
      </c>
      <c r="BN28" s="259">
        <v>191233.37</v>
      </c>
      <c r="BO28" s="259">
        <v>325373.25791105046</v>
      </c>
      <c r="BP28" s="136">
        <v>2419345.5833078888</v>
      </c>
      <c r="BQ28" s="136">
        <v>2419233.2473078887</v>
      </c>
      <c r="BR28" s="267">
        <v>0</v>
      </c>
      <c r="BS28" s="136">
        <v>2227999.8773078886</v>
      </c>
      <c r="BT28" s="271">
        <v>5394.6728264113526</v>
      </c>
      <c r="BU28" s="271">
        <v>5329.8137954022977</v>
      </c>
      <c r="BV28" s="275">
        <v>1.216909886514324E-2</v>
      </c>
      <c r="BW28" s="275">
        <v>0</v>
      </c>
      <c r="BX28" s="278">
        <v>0</v>
      </c>
      <c r="BY28" s="288">
        <v>2419345.5833078888</v>
      </c>
      <c r="BZ28" s="256">
        <v>-528.64</v>
      </c>
      <c r="CA28" s="263">
        <v>-4514.09</v>
      </c>
      <c r="CB28" s="296">
        <v>2414302.8533078888</v>
      </c>
      <c r="CC28" s="2"/>
      <c r="CD28" s="521"/>
      <c r="CE28" s="523"/>
      <c r="CF28" s="514"/>
      <c r="CG28" s="100"/>
      <c r="CH28" s="565">
        <v>0</v>
      </c>
      <c r="CI28" s="114">
        <v>54775.666666666672</v>
      </c>
      <c r="CK28" s="111">
        <v>240075</v>
      </c>
      <c r="CL28" s="111">
        <v>0</v>
      </c>
      <c r="CM28" s="556">
        <v>0</v>
      </c>
      <c r="CN28" s="560">
        <v>8450</v>
      </c>
      <c r="CO28" s="2">
        <v>41609.142857142855</v>
      </c>
      <c r="CP28" s="571"/>
      <c r="CQ28" s="547">
        <v>8747.5</v>
      </c>
      <c r="CR28" s="544"/>
      <c r="CS28" s="114"/>
      <c r="CT28" s="2"/>
    </row>
    <row r="29" spans="1:98" ht="14" x14ac:dyDescent="0.25">
      <c r="A29" s="60">
        <v>3122037</v>
      </c>
      <c r="B29" s="145">
        <v>2037</v>
      </c>
      <c r="C29" s="211" t="s">
        <v>124</v>
      </c>
      <c r="D29" s="217">
        <v>326</v>
      </c>
      <c r="E29" s="224">
        <v>326</v>
      </c>
      <c r="F29" s="224">
        <v>0</v>
      </c>
      <c r="G29" s="224">
        <v>0</v>
      </c>
      <c r="H29" s="224">
        <v>0</v>
      </c>
      <c r="I29" s="224">
        <v>119.00000000000007</v>
      </c>
      <c r="J29" s="221">
        <v>0</v>
      </c>
      <c r="K29" s="214">
        <v>119.00000000000007</v>
      </c>
      <c r="L29" s="224">
        <v>0</v>
      </c>
      <c r="M29" s="224">
        <v>113.347692307692</v>
      </c>
      <c r="N29" s="224">
        <v>144.443076923077</v>
      </c>
      <c r="O29" s="224">
        <v>0</v>
      </c>
      <c r="P29" s="224">
        <v>1.0030769230769201</v>
      </c>
      <c r="Q29" s="224">
        <v>0</v>
      </c>
      <c r="R29" s="224">
        <v>0</v>
      </c>
      <c r="S29" s="224">
        <v>0</v>
      </c>
      <c r="T29" s="224">
        <v>0</v>
      </c>
      <c r="U29" s="224">
        <v>0</v>
      </c>
      <c r="V29" s="224">
        <v>0</v>
      </c>
      <c r="W29" s="224">
        <v>0</v>
      </c>
      <c r="X29" s="224">
        <v>0</v>
      </c>
      <c r="Y29" s="224">
        <v>285.62385321100902</v>
      </c>
      <c r="Z29" s="224">
        <v>0</v>
      </c>
      <c r="AA29" s="224">
        <v>172.87878787878799</v>
      </c>
      <c r="AB29" s="224">
        <v>0</v>
      </c>
      <c r="AC29" s="224">
        <v>2.5076923076923099</v>
      </c>
      <c r="AD29" s="221">
        <v>0</v>
      </c>
      <c r="AE29" s="230">
        <v>1283579.3600000001</v>
      </c>
      <c r="AF29" s="128">
        <v>0</v>
      </c>
      <c r="AG29" s="233">
        <v>0</v>
      </c>
      <c r="AH29" s="240">
        <v>64167.822600000043</v>
      </c>
      <c r="AI29" s="237">
        <v>0</v>
      </c>
      <c r="AJ29" s="243">
        <v>107382.88680000007</v>
      </c>
      <c r="AK29" s="251">
        <v>0</v>
      </c>
      <c r="AL29" s="259">
        <v>29312.631347076949</v>
      </c>
      <c r="AM29" s="256">
        <v>45301.84110276922</v>
      </c>
      <c r="AN29" s="243">
        <v>0</v>
      </c>
      <c r="AO29" s="129">
        <v>535.36532492307754</v>
      </c>
      <c r="AP29" s="129">
        <v>0</v>
      </c>
      <c r="AQ29" s="129">
        <v>0</v>
      </c>
      <c r="AR29" s="129">
        <v>0</v>
      </c>
      <c r="AS29" s="129">
        <v>0</v>
      </c>
      <c r="AT29" s="129">
        <v>0</v>
      </c>
      <c r="AU29" s="129">
        <v>0</v>
      </c>
      <c r="AV29" s="129">
        <v>0</v>
      </c>
      <c r="AW29" s="129">
        <v>0</v>
      </c>
      <c r="AX29" s="129">
        <v>185447.39904770645</v>
      </c>
      <c r="AY29" s="129">
        <v>0</v>
      </c>
      <c r="AZ29" s="129">
        <v>222588.04336363642</v>
      </c>
      <c r="BA29" s="129">
        <v>0</v>
      </c>
      <c r="BB29" s="129">
        <v>2649.2304738461594</v>
      </c>
      <c r="BC29" s="251">
        <v>0</v>
      </c>
      <c r="BD29" s="252"/>
      <c r="BE29" s="252">
        <v>151599.37</v>
      </c>
      <c r="BF29" s="254"/>
      <c r="BG29" s="259">
        <v>31920</v>
      </c>
      <c r="BH29" s="256">
        <v>7714</v>
      </c>
      <c r="BI29" s="243"/>
      <c r="BJ29" s="129"/>
      <c r="BK29" s="129"/>
      <c r="BL29" s="251">
        <v>1283579.3600000001</v>
      </c>
      <c r="BM29" s="259">
        <v>657385.2200599584</v>
      </c>
      <c r="BN29" s="259">
        <v>191233.37</v>
      </c>
      <c r="BO29" s="259">
        <v>343667.38195575669</v>
      </c>
      <c r="BP29" s="136">
        <v>2132197.9500599587</v>
      </c>
      <c r="BQ29" s="136">
        <v>2132109.2780599585</v>
      </c>
      <c r="BR29" s="267">
        <v>0</v>
      </c>
      <c r="BS29" s="136">
        <v>1940875.9080599584</v>
      </c>
      <c r="BT29" s="271">
        <v>5953.6070799385225</v>
      </c>
      <c r="BU29" s="271">
        <v>5871.6620082317077</v>
      </c>
      <c r="BV29" s="275">
        <v>1.3956026690898231E-2</v>
      </c>
      <c r="BW29" s="275">
        <v>0</v>
      </c>
      <c r="BX29" s="278">
        <v>0</v>
      </c>
      <c r="BY29" s="288">
        <v>2132197.9500599587</v>
      </c>
      <c r="BZ29" s="256">
        <v>-417.28000000000003</v>
      </c>
      <c r="CA29" s="263">
        <v>-3563.18</v>
      </c>
      <c r="CB29" s="296">
        <v>2128217.4900599588</v>
      </c>
      <c r="CC29" s="2"/>
      <c r="CD29" s="521">
        <f>VLOOKUP(B29,'EYSFF (Universal)'!$A$10:$AC$66,29,0)</f>
        <v>348161.46750000003</v>
      </c>
      <c r="CE29" s="523">
        <f>VLOOKUP(B29,'EYSFF (Additional)'!$A$11:$AB$57,28,0)</f>
        <v>31696.1865</v>
      </c>
      <c r="CF29" s="514"/>
      <c r="CG29" s="100"/>
      <c r="CH29" s="565">
        <v>0</v>
      </c>
      <c r="CI29" s="114">
        <v>94536</v>
      </c>
      <c r="CK29" s="111">
        <v>158595</v>
      </c>
      <c r="CL29" s="111">
        <v>0</v>
      </c>
      <c r="CM29" s="556">
        <v>0</v>
      </c>
      <c r="CN29" s="560">
        <v>7625</v>
      </c>
      <c r="CO29" s="2">
        <v>31229.142857142859</v>
      </c>
      <c r="CP29" s="571">
        <v>98062.8</v>
      </c>
      <c r="CQ29" s="547">
        <v>8142.25</v>
      </c>
      <c r="CR29" s="544"/>
      <c r="CS29" s="114"/>
      <c r="CT29" s="2"/>
    </row>
    <row r="30" spans="1:98" ht="14" x14ac:dyDescent="0.25">
      <c r="A30" s="60">
        <v>3122038</v>
      </c>
      <c r="B30" s="145">
        <v>2038</v>
      </c>
      <c r="C30" s="211" t="s">
        <v>131</v>
      </c>
      <c r="D30" s="217">
        <v>357</v>
      </c>
      <c r="E30" s="224">
        <v>357</v>
      </c>
      <c r="F30" s="224">
        <v>0</v>
      </c>
      <c r="G30" s="224">
        <v>0</v>
      </c>
      <c r="H30" s="224">
        <v>0</v>
      </c>
      <c r="I30" s="224">
        <v>33.000000000000014</v>
      </c>
      <c r="J30" s="221">
        <v>0</v>
      </c>
      <c r="K30" s="214">
        <v>36.999999999999986</v>
      </c>
      <c r="L30" s="224">
        <v>0</v>
      </c>
      <c r="M30" s="224">
        <v>11.000000000000004</v>
      </c>
      <c r="N30" s="224">
        <v>0.999999999999999</v>
      </c>
      <c r="O30" s="224">
        <v>0</v>
      </c>
      <c r="P30" s="224">
        <v>1.9999999999999987</v>
      </c>
      <c r="Q30" s="224">
        <v>0</v>
      </c>
      <c r="R30" s="224">
        <v>0</v>
      </c>
      <c r="S30" s="224">
        <v>0</v>
      </c>
      <c r="T30" s="224">
        <v>0</v>
      </c>
      <c r="U30" s="224">
        <v>0</v>
      </c>
      <c r="V30" s="224">
        <v>0</v>
      </c>
      <c r="W30" s="224">
        <v>0</v>
      </c>
      <c r="X30" s="224">
        <v>0</v>
      </c>
      <c r="Y30" s="224">
        <v>30.999999999999993</v>
      </c>
      <c r="Z30" s="224">
        <v>0</v>
      </c>
      <c r="AA30" s="224">
        <v>67.845702577752803</v>
      </c>
      <c r="AB30" s="224">
        <v>0</v>
      </c>
      <c r="AC30" s="224">
        <v>0</v>
      </c>
      <c r="AD30" s="221">
        <v>0</v>
      </c>
      <c r="AE30" s="230">
        <v>1405637.52</v>
      </c>
      <c r="AF30" s="128">
        <v>0</v>
      </c>
      <c r="AG30" s="233">
        <v>0</v>
      </c>
      <c r="AH30" s="240">
        <v>17794.438200000008</v>
      </c>
      <c r="AI30" s="237">
        <v>0</v>
      </c>
      <c r="AJ30" s="243">
        <v>33387.956399999988</v>
      </c>
      <c r="AK30" s="251">
        <v>0</v>
      </c>
      <c r="AL30" s="259">
        <v>2844.6891000000005</v>
      </c>
      <c r="AM30" s="256">
        <v>313.63109999999978</v>
      </c>
      <c r="AN30" s="243">
        <v>0</v>
      </c>
      <c r="AO30" s="129">
        <v>1067.4461999999994</v>
      </c>
      <c r="AP30" s="129">
        <v>0</v>
      </c>
      <c r="AQ30" s="129">
        <v>0</v>
      </c>
      <c r="AR30" s="129">
        <v>0</v>
      </c>
      <c r="AS30" s="129">
        <v>0</v>
      </c>
      <c r="AT30" s="129">
        <v>0</v>
      </c>
      <c r="AU30" s="129">
        <v>0</v>
      </c>
      <c r="AV30" s="129">
        <v>0</v>
      </c>
      <c r="AW30" s="129">
        <v>0</v>
      </c>
      <c r="AX30" s="129">
        <v>20127.413399999994</v>
      </c>
      <c r="AY30" s="129">
        <v>0</v>
      </c>
      <c r="AZ30" s="129">
        <v>87353.933774695164</v>
      </c>
      <c r="BA30" s="129">
        <v>0</v>
      </c>
      <c r="BB30" s="129">
        <v>0</v>
      </c>
      <c r="BC30" s="251">
        <v>0</v>
      </c>
      <c r="BD30" s="252"/>
      <c r="BE30" s="252">
        <v>151599.37</v>
      </c>
      <c r="BF30" s="254"/>
      <c r="BG30" s="259">
        <v>29526</v>
      </c>
      <c r="BH30" s="256">
        <v>-2720</v>
      </c>
      <c r="BI30" s="243"/>
      <c r="BJ30" s="129"/>
      <c r="BK30" s="129"/>
      <c r="BL30" s="251">
        <v>1405637.52</v>
      </c>
      <c r="BM30" s="259">
        <v>162889.50817469516</v>
      </c>
      <c r="BN30" s="259">
        <v>178405.37</v>
      </c>
      <c r="BO30" s="259">
        <v>155251.00041821343</v>
      </c>
      <c r="BP30" s="136">
        <v>1746932.3981746952</v>
      </c>
      <c r="BQ30" s="136">
        <v>1746835.2941746954</v>
      </c>
      <c r="BR30" s="267">
        <v>0</v>
      </c>
      <c r="BS30" s="136">
        <v>1568429.9241746948</v>
      </c>
      <c r="BT30" s="271">
        <v>4393.3611321420021</v>
      </c>
      <c r="BU30" s="271">
        <v>4433.0291747191013</v>
      </c>
      <c r="BV30" s="275">
        <v>-8.9482926941514551E-3</v>
      </c>
      <c r="BW30" s="275">
        <v>1.3948292694151456E-2</v>
      </c>
      <c r="BX30" s="278">
        <v>21977.344276897707</v>
      </c>
      <c r="BY30" s="288">
        <v>1768909.7424515928</v>
      </c>
      <c r="BZ30" s="256">
        <v>-456.96000000000004</v>
      </c>
      <c r="CA30" s="263">
        <v>-3902.0099999999998</v>
      </c>
      <c r="CB30" s="296">
        <v>1764550.7724515928</v>
      </c>
      <c r="CC30" s="2"/>
      <c r="CD30" s="521"/>
      <c r="CE30" s="523"/>
      <c r="CF30" s="514"/>
      <c r="CG30" s="100"/>
      <c r="CH30" s="565">
        <v>0</v>
      </c>
      <c r="CI30" s="114">
        <v>32858.666666666664</v>
      </c>
      <c r="CK30" s="111">
        <v>56745</v>
      </c>
      <c r="CL30" s="111">
        <v>0</v>
      </c>
      <c r="CM30" s="556">
        <v>12650</v>
      </c>
      <c r="CN30" s="560">
        <v>8154</v>
      </c>
      <c r="CO30" s="2">
        <v>28800</v>
      </c>
      <c r="CP30" s="571"/>
      <c r="CQ30" s="547">
        <v>8038.75</v>
      </c>
      <c r="CR30" s="544"/>
      <c r="CS30" s="114"/>
      <c r="CT30" s="2"/>
    </row>
    <row r="31" spans="1:98" ht="14" x14ac:dyDescent="0.25">
      <c r="A31" s="60">
        <v>3122039</v>
      </c>
      <c r="B31" s="145">
        <v>2039</v>
      </c>
      <c r="C31" s="211" t="s">
        <v>129</v>
      </c>
      <c r="D31" s="217">
        <v>263</v>
      </c>
      <c r="E31" s="224">
        <v>263</v>
      </c>
      <c r="F31" s="224">
        <v>0</v>
      </c>
      <c r="G31" s="224">
        <v>0</v>
      </c>
      <c r="H31" s="224">
        <v>0</v>
      </c>
      <c r="I31" s="224">
        <v>21.000000000000014</v>
      </c>
      <c r="J31" s="221">
        <v>0</v>
      </c>
      <c r="K31" s="214">
        <v>21.000000000000014</v>
      </c>
      <c r="L31" s="224">
        <v>0</v>
      </c>
      <c r="M31" s="224">
        <v>16.000000000000004</v>
      </c>
      <c r="N31" s="224">
        <v>4.0000000000000098</v>
      </c>
      <c r="O31" s="224">
        <v>0</v>
      </c>
      <c r="P31" s="224">
        <v>0</v>
      </c>
      <c r="Q31" s="224">
        <v>0</v>
      </c>
      <c r="R31" s="224">
        <v>0</v>
      </c>
      <c r="S31" s="224">
        <v>0</v>
      </c>
      <c r="T31" s="224">
        <v>0</v>
      </c>
      <c r="U31" s="224">
        <v>0</v>
      </c>
      <c r="V31" s="224">
        <v>0</v>
      </c>
      <c r="W31" s="224">
        <v>0</v>
      </c>
      <c r="X31" s="224">
        <v>0</v>
      </c>
      <c r="Y31" s="224">
        <v>42.608938547486197</v>
      </c>
      <c r="Z31" s="224">
        <v>0</v>
      </c>
      <c r="AA31" s="224">
        <v>77.086206896551701</v>
      </c>
      <c r="AB31" s="224">
        <v>0</v>
      </c>
      <c r="AC31" s="224">
        <v>0</v>
      </c>
      <c r="AD31" s="221">
        <v>0</v>
      </c>
      <c r="AE31" s="230">
        <v>1035525.68</v>
      </c>
      <c r="AF31" s="128">
        <v>0</v>
      </c>
      <c r="AG31" s="233">
        <v>0</v>
      </c>
      <c r="AH31" s="240">
        <v>11323.733400000008</v>
      </c>
      <c r="AI31" s="237">
        <v>0</v>
      </c>
      <c r="AJ31" s="243">
        <v>18949.921200000012</v>
      </c>
      <c r="AK31" s="251">
        <v>0</v>
      </c>
      <c r="AL31" s="259">
        <v>4137.7296000000006</v>
      </c>
      <c r="AM31" s="256">
        <v>1254.5244000000025</v>
      </c>
      <c r="AN31" s="243">
        <v>0</v>
      </c>
      <c r="AO31" s="129">
        <v>0</v>
      </c>
      <c r="AP31" s="129">
        <v>0</v>
      </c>
      <c r="AQ31" s="129">
        <v>0</v>
      </c>
      <c r="AR31" s="129">
        <v>0</v>
      </c>
      <c r="AS31" s="129">
        <v>0</v>
      </c>
      <c r="AT31" s="129">
        <v>0</v>
      </c>
      <c r="AU31" s="129">
        <v>0</v>
      </c>
      <c r="AV31" s="129">
        <v>0</v>
      </c>
      <c r="AW31" s="129">
        <v>0</v>
      </c>
      <c r="AX31" s="129">
        <v>27664.765183240299</v>
      </c>
      <c r="AY31" s="129">
        <v>0</v>
      </c>
      <c r="AZ31" s="129">
        <v>99251.436072413766</v>
      </c>
      <c r="BA31" s="129">
        <v>0</v>
      </c>
      <c r="BB31" s="129">
        <v>0</v>
      </c>
      <c r="BC31" s="251">
        <v>0</v>
      </c>
      <c r="BD31" s="252"/>
      <c r="BE31" s="252">
        <v>151599.37</v>
      </c>
      <c r="BF31" s="254"/>
      <c r="BG31" s="259">
        <v>29526</v>
      </c>
      <c r="BH31" s="256">
        <v>-2720</v>
      </c>
      <c r="BI31" s="243"/>
      <c r="BJ31" s="129"/>
      <c r="BK31" s="129"/>
      <c r="BL31" s="251">
        <v>1035525.68</v>
      </c>
      <c r="BM31" s="259">
        <v>162582.1098556541</v>
      </c>
      <c r="BN31" s="259">
        <v>178405.37</v>
      </c>
      <c r="BO31" s="259">
        <v>147138.42991806893</v>
      </c>
      <c r="BP31" s="136">
        <v>1376513.159855654</v>
      </c>
      <c r="BQ31" s="136">
        <v>1376441.6238556542</v>
      </c>
      <c r="BR31" s="267">
        <v>0</v>
      </c>
      <c r="BS31" s="136">
        <v>1198036.253855654</v>
      </c>
      <c r="BT31" s="271">
        <v>4555.27092720781</v>
      </c>
      <c r="BU31" s="271">
        <v>4537.5301762452118</v>
      </c>
      <c r="BV31" s="275">
        <v>3.9097813730196752E-3</v>
      </c>
      <c r="BW31" s="275">
        <v>1.0902186269803249E-3</v>
      </c>
      <c r="BX31" s="278">
        <v>1229.4986785993801</v>
      </c>
      <c r="BY31" s="288">
        <v>1377742.6585342535</v>
      </c>
      <c r="BZ31" s="256">
        <v>-336.64</v>
      </c>
      <c r="CA31" s="263">
        <v>-2874.59</v>
      </c>
      <c r="CB31" s="296">
        <v>1374531.4285342535</v>
      </c>
      <c r="CC31" s="2"/>
      <c r="CD31" s="521">
        <f>VLOOKUP(B31,'EYSFF (Universal)'!$A$10:$AC$66,29,0)</f>
        <v>144486.81759468437</v>
      </c>
      <c r="CE31" s="523">
        <f>VLOOKUP(B31,'EYSFF (Additional)'!$A$11:$AB$57,28,0)</f>
        <v>80127.066399999996</v>
      </c>
      <c r="CF31" s="514"/>
      <c r="CG31" s="100"/>
      <c r="CH31" s="565">
        <v>0</v>
      </c>
      <c r="CI31" s="114">
        <v>64640</v>
      </c>
      <c r="CK31" s="111">
        <v>30555</v>
      </c>
      <c r="CL31" s="111">
        <v>0</v>
      </c>
      <c r="CM31" s="556">
        <v>0</v>
      </c>
      <c r="CN31" s="560">
        <v>7412</v>
      </c>
      <c r="CO31" s="2">
        <v>21519.428571428572</v>
      </c>
      <c r="CP31" s="571">
        <v>112243.45</v>
      </c>
      <c r="CQ31" s="547">
        <v>7435.75</v>
      </c>
      <c r="CR31" s="544"/>
      <c r="CS31" s="114"/>
      <c r="CT31" s="2"/>
    </row>
    <row r="32" spans="1:98" ht="14" x14ac:dyDescent="0.25">
      <c r="A32" s="60">
        <v>3122040</v>
      </c>
      <c r="B32" s="145">
        <v>2040</v>
      </c>
      <c r="C32" s="211" t="s">
        <v>260</v>
      </c>
      <c r="D32" s="217">
        <v>591</v>
      </c>
      <c r="E32" s="224">
        <v>591</v>
      </c>
      <c r="F32" s="224">
        <v>0</v>
      </c>
      <c r="G32" s="224">
        <v>0</v>
      </c>
      <c r="H32" s="224">
        <v>0</v>
      </c>
      <c r="I32" s="224">
        <v>207</v>
      </c>
      <c r="J32" s="221">
        <v>0</v>
      </c>
      <c r="K32" s="214">
        <v>210.0000000000002</v>
      </c>
      <c r="L32" s="224">
        <v>0</v>
      </c>
      <c r="M32" s="224">
        <v>292</v>
      </c>
      <c r="N32" s="224">
        <v>61.999999999999979</v>
      </c>
      <c r="O32" s="224">
        <v>4</v>
      </c>
      <c r="P32" s="224">
        <v>3.0000000000000027</v>
      </c>
      <c r="Q32" s="224">
        <v>0</v>
      </c>
      <c r="R32" s="224">
        <v>0</v>
      </c>
      <c r="S32" s="224">
        <v>0</v>
      </c>
      <c r="T32" s="224">
        <v>0</v>
      </c>
      <c r="U32" s="224">
        <v>0</v>
      </c>
      <c r="V32" s="224">
        <v>0</v>
      </c>
      <c r="W32" s="224">
        <v>0</v>
      </c>
      <c r="X32" s="224">
        <v>0</v>
      </c>
      <c r="Y32" s="224">
        <v>306.57396449704117</v>
      </c>
      <c r="Z32" s="224">
        <v>0</v>
      </c>
      <c r="AA32" s="224">
        <v>202.15062160213566</v>
      </c>
      <c r="AB32" s="224">
        <v>0</v>
      </c>
      <c r="AC32" s="224">
        <v>61.540000000000106</v>
      </c>
      <c r="AD32" s="221">
        <v>0</v>
      </c>
      <c r="AE32" s="230">
        <v>2326979.7600000002</v>
      </c>
      <c r="AF32" s="128">
        <v>0</v>
      </c>
      <c r="AG32" s="233">
        <v>0</v>
      </c>
      <c r="AH32" s="240">
        <v>111619.6578</v>
      </c>
      <c r="AI32" s="237">
        <v>0</v>
      </c>
      <c r="AJ32" s="243">
        <v>189499.21200000017</v>
      </c>
      <c r="AK32" s="251">
        <v>0</v>
      </c>
      <c r="AL32" s="259">
        <v>75513.565199999997</v>
      </c>
      <c r="AM32" s="256">
        <v>19445.128199999992</v>
      </c>
      <c r="AN32" s="243">
        <v>1958.8188</v>
      </c>
      <c r="AO32" s="129">
        <v>1601.1693000000016</v>
      </c>
      <c r="AP32" s="129">
        <v>0</v>
      </c>
      <c r="AQ32" s="129">
        <v>0</v>
      </c>
      <c r="AR32" s="129">
        <v>0</v>
      </c>
      <c r="AS32" s="129">
        <v>0</v>
      </c>
      <c r="AT32" s="129">
        <v>0</v>
      </c>
      <c r="AU32" s="129">
        <v>0</v>
      </c>
      <c r="AV32" s="129">
        <v>0</v>
      </c>
      <c r="AW32" s="129">
        <v>0</v>
      </c>
      <c r="AX32" s="129">
        <v>199049.70713254422</v>
      </c>
      <c r="AY32" s="129">
        <v>0</v>
      </c>
      <c r="AZ32" s="129">
        <v>260276.64746649485</v>
      </c>
      <c r="BA32" s="129">
        <v>0</v>
      </c>
      <c r="BB32" s="129">
        <v>65013.416064000121</v>
      </c>
      <c r="BC32" s="251">
        <v>0</v>
      </c>
      <c r="BD32" s="252"/>
      <c r="BE32" s="252">
        <v>151599.37</v>
      </c>
      <c r="BF32" s="254"/>
      <c r="BG32" s="259">
        <v>17768</v>
      </c>
      <c r="BH32" s="256">
        <v>0</v>
      </c>
      <c r="BI32" s="243"/>
      <c r="BJ32" s="129"/>
      <c r="BK32" s="129"/>
      <c r="BL32" s="251">
        <v>2326979.7600000002</v>
      </c>
      <c r="BM32" s="259">
        <v>923977.32196303934</v>
      </c>
      <c r="BN32" s="259">
        <v>169367.37</v>
      </c>
      <c r="BO32" s="259">
        <v>475350.96363502525</v>
      </c>
      <c r="BP32" s="136">
        <v>3420324.4519630396</v>
      </c>
      <c r="BQ32" s="136">
        <v>3420163.6999630402</v>
      </c>
      <c r="BR32" s="267">
        <v>0</v>
      </c>
      <c r="BS32" s="136">
        <v>3250796.3299630391</v>
      </c>
      <c r="BT32" s="271">
        <v>5500.5014043367837</v>
      </c>
      <c r="BU32" s="271">
        <v>5395.9121627056666</v>
      </c>
      <c r="BV32" s="275">
        <v>1.9383051183448671E-2</v>
      </c>
      <c r="BW32" s="275">
        <v>0</v>
      </c>
      <c r="BX32" s="278">
        <v>0</v>
      </c>
      <c r="BY32" s="288">
        <v>3420324.4519630396</v>
      </c>
      <c r="BZ32" s="256">
        <v>0</v>
      </c>
      <c r="CA32" s="263">
        <v>0</v>
      </c>
      <c r="CB32" s="296">
        <v>3420324.4519630396</v>
      </c>
      <c r="CC32" s="2"/>
      <c r="CD32" s="521">
        <f>VLOOKUP(B32,'EYSFF (Universal)'!$A$10:$AC$66,29,0)</f>
        <v>171556.2156</v>
      </c>
      <c r="CE32" s="523">
        <f>VLOOKUP(B32,'EYSFF (Additional)'!$A$11:$AB$57,28,0)</f>
        <v>24442.804800000002</v>
      </c>
      <c r="CF32" s="514"/>
      <c r="CG32" s="100"/>
      <c r="CH32" s="565">
        <v>60000</v>
      </c>
      <c r="CI32" s="114">
        <v>180423.70666666667</v>
      </c>
      <c r="CK32" s="111"/>
      <c r="CL32" s="111"/>
      <c r="CM32" s="556"/>
      <c r="CN32" s="560"/>
      <c r="CO32" s="2">
        <v>0</v>
      </c>
      <c r="CP32" s="571"/>
      <c r="CQ32" s="547"/>
      <c r="CR32" s="544"/>
      <c r="CS32" s="114"/>
      <c r="CT32" s="2"/>
    </row>
    <row r="33" spans="1:98" ht="14" x14ac:dyDescent="0.25">
      <c r="A33" s="60">
        <v>3122045</v>
      </c>
      <c r="B33" s="145">
        <v>2045</v>
      </c>
      <c r="C33" s="211" t="s">
        <v>148</v>
      </c>
      <c r="D33" s="217">
        <v>384</v>
      </c>
      <c r="E33" s="224">
        <v>384</v>
      </c>
      <c r="F33" s="224">
        <v>0</v>
      </c>
      <c r="G33" s="224">
        <v>0</v>
      </c>
      <c r="H33" s="224">
        <v>0</v>
      </c>
      <c r="I33" s="224">
        <v>67.000000000000128</v>
      </c>
      <c r="J33" s="221">
        <v>0</v>
      </c>
      <c r="K33" s="214">
        <v>76.999999999999872</v>
      </c>
      <c r="L33" s="224">
        <v>0</v>
      </c>
      <c r="M33" s="224">
        <v>135</v>
      </c>
      <c r="N33" s="224">
        <v>160.00000000000014</v>
      </c>
      <c r="O33" s="224">
        <v>7.9999999999999876</v>
      </c>
      <c r="P33" s="224">
        <v>0</v>
      </c>
      <c r="Q33" s="224">
        <v>1.9999999999999987</v>
      </c>
      <c r="R33" s="224">
        <v>0</v>
      </c>
      <c r="S33" s="224">
        <v>0</v>
      </c>
      <c r="T33" s="224">
        <v>0</v>
      </c>
      <c r="U33" s="224">
        <v>0</v>
      </c>
      <c r="V33" s="224">
        <v>0</v>
      </c>
      <c r="W33" s="224">
        <v>0</v>
      </c>
      <c r="X33" s="224">
        <v>0</v>
      </c>
      <c r="Y33" s="224">
        <v>158.81481481481472</v>
      </c>
      <c r="Z33" s="224">
        <v>0</v>
      </c>
      <c r="AA33" s="224">
        <v>91.499820002964682</v>
      </c>
      <c r="AB33" s="224">
        <v>0</v>
      </c>
      <c r="AC33" s="224">
        <v>6.9600000000000009</v>
      </c>
      <c r="AD33" s="221">
        <v>0</v>
      </c>
      <c r="AE33" s="230">
        <v>1511946.24</v>
      </c>
      <c r="AF33" s="128">
        <v>0</v>
      </c>
      <c r="AG33" s="233">
        <v>0</v>
      </c>
      <c r="AH33" s="240">
        <v>36128.101800000069</v>
      </c>
      <c r="AI33" s="237">
        <v>0</v>
      </c>
      <c r="AJ33" s="243">
        <v>69483.044399999882</v>
      </c>
      <c r="AK33" s="251">
        <v>0</v>
      </c>
      <c r="AL33" s="259">
        <v>34912.093499999995</v>
      </c>
      <c r="AM33" s="256">
        <v>50180.976000000046</v>
      </c>
      <c r="AN33" s="243">
        <v>3917.6375999999941</v>
      </c>
      <c r="AO33" s="129">
        <v>0</v>
      </c>
      <c r="AP33" s="129">
        <v>1133.4737999999993</v>
      </c>
      <c r="AQ33" s="129">
        <v>0</v>
      </c>
      <c r="AR33" s="129">
        <v>0</v>
      </c>
      <c r="AS33" s="129">
        <v>0</v>
      </c>
      <c r="AT33" s="129">
        <v>0</v>
      </c>
      <c r="AU33" s="129">
        <v>0</v>
      </c>
      <c r="AV33" s="129">
        <v>0</v>
      </c>
      <c r="AW33" s="129">
        <v>0</v>
      </c>
      <c r="AX33" s="129">
        <v>103113.91715555549</v>
      </c>
      <c r="AY33" s="129">
        <v>0</v>
      </c>
      <c r="AZ33" s="129">
        <v>117809.51354694113</v>
      </c>
      <c r="BA33" s="129">
        <v>0</v>
      </c>
      <c r="BB33" s="129">
        <v>7352.8335360000019</v>
      </c>
      <c r="BC33" s="251">
        <v>0</v>
      </c>
      <c r="BD33" s="252"/>
      <c r="BE33" s="252">
        <v>151599.37</v>
      </c>
      <c r="BF33" s="254"/>
      <c r="BG33" s="259">
        <v>0</v>
      </c>
      <c r="BH33" s="256">
        <v>0</v>
      </c>
      <c r="BI33" s="243"/>
      <c r="BJ33" s="129"/>
      <c r="BK33" s="129"/>
      <c r="BL33" s="251">
        <v>1511946.24</v>
      </c>
      <c r="BM33" s="259">
        <v>424031.59133849666</v>
      </c>
      <c r="BN33" s="259">
        <v>151599.37</v>
      </c>
      <c r="BO33" s="259">
        <v>243935.94548560461</v>
      </c>
      <c r="BP33" s="136">
        <v>2087577.2013384965</v>
      </c>
      <c r="BQ33" s="136">
        <v>2087472.7533384967</v>
      </c>
      <c r="BR33" s="267">
        <v>0</v>
      </c>
      <c r="BS33" s="136">
        <v>1935873.3833384966</v>
      </c>
      <c r="BT33" s="271">
        <v>5041.3369357773345</v>
      </c>
      <c r="BU33" s="271">
        <v>5047.8608730666665</v>
      </c>
      <c r="BV33" s="275">
        <v>-1.2924162240962509E-3</v>
      </c>
      <c r="BW33" s="275">
        <v>6.2924162240962506E-3</v>
      </c>
      <c r="BX33" s="278">
        <v>12092.636795391521</v>
      </c>
      <c r="BY33" s="288">
        <v>2099669.8381338879</v>
      </c>
      <c r="BZ33" s="256">
        <v>0</v>
      </c>
      <c r="CA33" s="263">
        <v>0</v>
      </c>
      <c r="CB33" s="296">
        <v>2099669.8381338879</v>
      </c>
      <c r="CC33" s="2"/>
      <c r="CD33" s="521">
        <f>VLOOKUP(B33,'EYSFF (Universal)'!$A$10:$AC$66,29,0)</f>
        <v>169601.45400000003</v>
      </c>
      <c r="CE33" s="523"/>
      <c r="CF33" s="514"/>
      <c r="CG33" s="100"/>
      <c r="CH33" s="565">
        <v>0</v>
      </c>
      <c r="CI33" s="114">
        <v>60229.666666666672</v>
      </c>
      <c r="CK33" s="111"/>
      <c r="CL33" s="111"/>
      <c r="CM33" s="556"/>
      <c r="CN33" s="560"/>
      <c r="CO33" s="2">
        <v>0</v>
      </c>
      <c r="CP33" s="571"/>
      <c r="CQ33" s="547"/>
      <c r="CR33" s="544"/>
      <c r="CS33" s="114"/>
      <c r="CT33" s="2"/>
    </row>
    <row r="34" spans="1:98" ht="14" x14ac:dyDescent="0.25">
      <c r="A34" s="60">
        <v>3122048</v>
      </c>
      <c r="B34" s="145">
        <v>2048</v>
      </c>
      <c r="C34" s="211" t="s">
        <v>154</v>
      </c>
      <c r="D34" s="217">
        <v>388</v>
      </c>
      <c r="E34" s="224">
        <v>388</v>
      </c>
      <c r="F34" s="224">
        <v>0</v>
      </c>
      <c r="G34" s="224">
        <v>0</v>
      </c>
      <c r="H34" s="224">
        <v>0</v>
      </c>
      <c r="I34" s="224">
        <v>90.000000000000028</v>
      </c>
      <c r="J34" s="221">
        <v>0</v>
      </c>
      <c r="K34" s="214">
        <v>97</v>
      </c>
      <c r="L34" s="224">
        <v>0</v>
      </c>
      <c r="M34" s="224">
        <v>24.062015503875973</v>
      </c>
      <c r="N34" s="224">
        <v>26.067183462532284</v>
      </c>
      <c r="O34" s="224">
        <v>3.0077519379844944</v>
      </c>
      <c r="P34" s="224">
        <v>2.0051679586563309</v>
      </c>
      <c r="Q34" s="224">
        <v>0</v>
      </c>
      <c r="R34" s="224">
        <v>0</v>
      </c>
      <c r="S34" s="224">
        <v>0</v>
      </c>
      <c r="T34" s="224">
        <v>0</v>
      </c>
      <c r="U34" s="224">
        <v>0</v>
      </c>
      <c r="V34" s="224">
        <v>0</v>
      </c>
      <c r="W34" s="224">
        <v>0</v>
      </c>
      <c r="X34" s="224">
        <v>0</v>
      </c>
      <c r="Y34" s="224">
        <v>80.973913043478248</v>
      </c>
      <c r="Z34" s="224">
        <v>0</v>
      </c>
      <c r="AA34" s="224">
        <v>110.94095298728355</v>
      </c>
      <c r="AB34" s="224">
        <v>0</v>
      </c>
      <c r="AC34" s="224">
        <v>29.720000000000038</v>
      </c>
      <c r="AD34" s="221">
        <v>0</v>
      </c>
      <c r="AE34" s="230">
        <v>1527695.68</v>
      </c>
      <c r="AF34" s="128">
        <v>0</v>
      </c>
      <c r="AG34" s="233">
        <v>0</v>
      </c>
      <c r="AH34" s="240">
        <v>48530.286000000022</v>
      </c>
      <c r="AI34" s="237">
        <v>0</v>
      </c>
      <c r="AJ34" s="243">
        <v>87530.588400000008</v>
      </c>
      <c r="AK34" s="251">
        <v>0</v>
      </c>
      <c r="AL34" s="259">
        <v>6222.6321116279078</v>
      </c>
      <c r="AM34" s="256">
        <v>8175.4794232558097</v>
      </c>
      <c r="AN34" s="243">
        <v>1472.9102604651155</v>
      </c>
      <c r="AO34" s="129">
        <v>1070.2044589147288</v>
      </c>
      <c r="AP34" s="129">
        <v>0</v>
      </c>
      <c r="AQ34" s="129">
        <v>0</v>
      </c>
      <c r="AR34" s="129">
        <v>0</v>
      </c>
      <c r="AS34" s="129">
        <v>0</v>
      </c>
      <c r="AT34" s="129">
        <v>0</v>
      </c>
      <c r="AU34" s="129">
        <v>0</v>
      </c>
      <c r="AV34" s="129">
        <v>0</v>
      </c>
      <c r="AW34" s="129">
        <v>0</v>
      </c>
      <c r="AX34" s="129">
        <v>52574.045885217383</v>
      </c>
      <c r="AY34" s="129">
        <v>0</v>
      </c>
      <c r="AZ34" s="129">
        <v>142840.71491553169</v>
      </c>
      <c r="BA34" s="129">
        <v>0</v>
      </c>
      <c r="BB34" s="129">
        <v>31397.444352000042</v>
      </c>
      <c r="BC34" s="251">
        <v>0</v>
      </c>
      <c r="BD34" s="252"/>
      <c r="BE34" s="252">
        <v>151599.37</v>
      </c>
      <c r="BF34" s="254"/>
      <c r="BG34" s="259">
        <v>16500</v>
      </c>
      <c r="BH34" s="256">
        <v>0</v>
      </c>
      <c r="BI34" s="243"/>
      <c r="BJ34" s="129"/>
      <c r="BK34" s="129"/>
      <c r="BL34" s="251">
        <v>1527695.68</v>
      </c>
      <c r="BM34" s="259">
        <v>379814.30580701266</v>
      </c>
      <c r="BN34" s="259">
        <v>168099.37</v>
      </c>
      <c r="BO34" s="259">
        <v>247540.34976837839</v>
      </c>
      <c r="BP34" s="136">
        <v>2075609.3558070124</v>
      </c>
      <c r="BQ34" s="136">
        <v>2075503.819807013</v>
      </c>
      <c r="BR34" s="267">
        <v>0</v>
      </c>
      <c r="BS34" s="136">
        <v>1907404.4498070125</v>
      </c>
      <c r="BT34" s="271">
        <v>4915.9908500180736</v>
      </c>
      <c r="BU34" s="271">
        <v>4952.8027275064269</v>
      </c>
      <c r="BV34" s="275">
        <v>-7.4325345695500462E-3</v>
      </c>
      <c r="BW34" s="275">
        <v>1.2432534569550046E-2</v>
      </c>
      <c r="BX34" s="278">
        <v>23785.909756843917</v>
      </c>
      <c r="BY34" s="288">
        <v>2099395.2655638563</v>
      </c>
      <c r="BZ34" s="256">
        <v>0</v>
      </c>
      <c r="CA34" s="263">
        <v>0</v>
      </c>
      <c r="CB34" s="296">
        <v>2099395.2655638563</v>
      </c>
      <c r="CC34" s="2"/>
      <c r="CD34" s="521">
        <f>VLOOKUP(B34,'EYSFF (Universal)'!$A$10:$AC$66,29,0)</f>
        <v>142508.83225000001</v>
      </c>
      <c r="CE34" s="523">
        <f>VLOOKUP(B34,'EYSFF (Additional)'!$A$11:$AB$57,28,0)</f>
        <v>53781.900249999999</v>
      </c>
      <c r="CF34" s="514"/>
      <c r="CG34" s="100"/>
      <c r="CH34" s="565">
        <v>0</v>
      </c>
      <c r="CI34" s="114">
        <v>33431</v>
      </c>
      <c r="CK34" s="111"/>
      <c r="CL34" s="111"/>
      <c r="CM34" s="556"/>
      <c r="CN34" s="560"/>
      <c r="CO34" s="2">
        <v>0</v>
      </c>
      <c r="CP34" s="571"/>
      <c r="CQ34" s="547"/>
      <c r="CR34" s="544"/>
      <c r="CS34" s="114"/>
      <c r="CT34" s="2"/>
    </row>
    <row r="35" spans="1:98" ht="14" x14ac:dyDescent="0.25">
      <c r="A35" s="60">
        <v>3122049</v>
      </c>
      <c r="B35" s="145">
        <v>2049</v>
      </c>
      <c r="C35" s="211" t="s">
        <v>185</v>
      </c>
      <c r="D35" s="217">
        <v>527</v>
      </c>
      <c r="E35" s="224">
        <v>527</v>
      </c>
      <c r="F35" s="224">
        <v>0</v>
      </c>
      <c r="G35" s="224">
        <v>0</v>
      </c>
      <c r="H35" s="224">
        <v>0</v>
      </c>
      <c r="I35" s="224">
        <v>143.99999999999989</v>
      </c>
      <c r="J35" s="221">
        <v>0</v>
      </c>
      <c r="K35" s="214">
        <v>145.99999999999977</v>
      </c>
      <c r="L35" s="224">
        <v>0</v>
      </c>
      <c r="M35" s="224">
        <v>100.00000000000001</v>
      </c>
      <c r="N35" s="224">
        <v>166.00000000000009</v>
      </c>
      <c r="O35" s="224">
        <v>4.0000000000000009</v>
      </c>
      <c r="P35" s="224">
        <v>2.0000000000000004</v>
      </c>
      <c r="Q35" s="224">
        <v>2.0000000000000004</v>
      </c>
      <c r="R35" s="224">
        <v>0</v>
      </c>
      <c r="S35" s="224">
        <v>0</v>
      </c>
      <c r="T35" s="224">
        <v>0</v>
      </c>
      <c r="U35" s="224">
        <v>0</v>
      </c>
      <c r="V35" s="224">
        <v>0</v>
      </c>
      <c r="W35" s="224">
        <v>0</v>
      </c>
      <c r="X35" s="224">
        <v>0</v>
      </c>
      <c r="Y35" s="224">
        <v>278.72444444444449</v>
      </c>
      <c r="Z35" s="224">
        <v>0</v>
      </c>
      <c r="AA35" s="224">
        <v>159.82470867232217</v>
      </c>
      <c r="AB35" s="224">
        <v>0</v>
      </c>
      <c r="AC35" s="224">
        <v>28.37999999999991</v>
      </c>
      <c r="AD35" s="221">
        <v>0</v>
      </c>
      <c r="AE35" s="230">
        <v>2074988.72</v>
      </c>
      <c r="AF35" s="128">
        <v>0</v>
      </c>
      <c r="AG35" s="233">
        <v>0</v>
      </c>
      <c r="AH35" s="240">
        <v>77648.457599999951</v>
      </c>
      <c r="AI35" s="237">
        <v>0</v>
      </c>
      <c r="AJ35" s="243">
        <v>131747.0711999998</v>
      </c>
      <c r="AK35" s="251">
        <v>0</v>
      </c>
      <c r="AL35" s="259">
        <v>25860.81</v>
      </c>
      <c r="AM35" s="256">
        <v>52062.762600000031</v>
      </c>
      <c r="AN35" s="243">
        <v>1958.8188000000005</v>
      </c>
      <c r="AO35" s="129">
        <v>1067.4462000000003</v>
      </c>
      <c r="AP35" s="129">
        <v>1133.4738000000002</v>
      </c>
      <c r="AQ35" s="129">
        <v>0</v>
      </c>
      <c r="AR35" s="129">
        <v>0</v>
      </c>
      <c r="AS35" s="129">
        <v>0</v>
      </c>
      <c r="AT35" s="129">
        <v>0</v>
      </c>
      <c r="AU35" s="129">
        <v>0</v>
      </c>
      <c r="AV35" s="129">
        <v>0</v>
      </c>
      <c r="AW35" s="129">
        <v>0</v>
      </c>
      <c r="AX35" s="129">
        <v>180967.81025866669</v>
      </c>
      <c r="AY35" s="129">
        <v>0</v>
      </c>
      <c r="AZ35" s="129">
        <v>205780.41771948608</v>
      </c>
      <c r="BA35" s="129">
        <v>0</v>
      </c>
      <c r="BB35" s="129">
        <v>29981.812607999909</v>
      </c>
      <c r="BC35" s="251">
        <v>0</v>
      </c>
      <c r="BD35" s="252"/>
      <c r="BE35" s="252">
        <v>151599.37</v>
      </c>
      <c r="BF35" s="254"/>
      <c r="BG35" s="259">
        <v>10368</v>
      </c>
      <c r="BH35" s="256">
        <v>0</v>
      </c>
      <c r="BI35" s="243"/>
      <c r="BJ35" s="129"/>
      <c r="BK35" s="129"/>
      <c r="BL35" s="251">
        <v>2074988.72</v>
      </c>
      <c r="BM35" s="259">
        <v>708208.88078615244</v>
      </c>
      <c r="BN35" s="259">
        <v>161967.37</v>
      </c>
      <c r="BO35" s="259">
        <v>375362.76170575683</v>
      </c>
      <c r="BP35" s="136">
        <v>2945164.9707861524</v>
      </c>
      <c r="BQ35" s="136">
        <v>2945021.6267861524</v>
      </c>
      <c r="BR35" s="267">
        <v>0</v>
      </c>
      <c r="BS35" s="136">
        <v>2783054.2567861527</v>
      </c>
      <c r="BT35" s="271">
        <v>5280.9378686644268</v>
      </c>
      <c r="BU35" s="271">
        <v>5260.3674131725411</v>
      </c>
      <c r="BV35" s="275">
        <v>3.9104598360135455E-3</v>
      </c>
      <c r="BW35" s="275">
        <v>1.0895401639864546E-3</v>
      </c>
      <c r="BX35" s="278">
        <v>2877.094089486397</v>
      </c>
      <c r="BY35" s="288">
        <v>2948042.0648756386</v>
      </c>
      <c r="BZ35" s="256">
        <v>0</v>
      </c>
      <c r="CA35" s="263">
        <v>0</v>
      </c>
      <c r="CB35" s="296">
        <v>2948042.0648756386</v>
      </c>
      <c r="CC35" s="2"/>
      <c r="CD35" s="521">
        <f>VLOOKUP(B35,'EYSFF (Universal)'!$A$10:$AC$66,29,0)</f>
        <v>171938.46638297872</v>
      </c>
      <c r="CE35" s="523">
        <f>VLOOKUP(B35,'EYSFF (Additional)'!$A$11:$AB$57,28,0)</f>
        <v>22156.753500000003</v>
      </c>
      <c r="CF35" s="514"/>
      <c r="CG35" s="100"/>
      <c r="CH35" s="565">
        <v>0</v>
      </c>
      <c r="CI35" s="114">
        <v>57065</v>
      </c>
      <c r="CK35" s="111"/>
      <c r="CL35" s="111"/>
      <c r="CM35" s="556"/>
      <c r="CN35" s="560"/>
      <c r="CO35" s="2">
        <v>0</v>
      </c>
      <c r="CP35" s="571"/>
      <c r="CQ35" s="547"/>
      <c r="CR35" s="544"/>
      <c r="CS35" s="114"/>
      <c r="CT35" s="2"/>
    </row>
    <row r="36" spans="1:98" ht="14" x14ac:dyDescent="0.25">
      <c r="A36" s="60">
        <v>3122051</v>
      </c>
      <c r="B36" s="145">
        <v>2051</v>
      </c>
      <c r="C36" s="211" t="s">
        <v>180</v>
      </c>
      <c r="D36" s="217">
        <v>624</v>
      </c>
      <c r="E36" s="224">
        <v>624</v>
      </c>
      <c r="F36" s="224">
        <v>0</v>
      </c>
      <c r="G36" s="224">
        <v>0</v>
      </c>
      <c r="H36" s="224">
        <v>0</v>
      </c>
      <c r="I36" s="224">
        <v>143.0000000000002</v>
      </c>
      <c r="J36" s="221">
        <v>0</v>
      </c>
      <c r="K36" s="214">
        <v>143.0000000000002</v>
      </c>
      <c r="L36" s="224">
        <v>0</v>
      </c>
      <c r="M36" s="224">
        <v>287.38164251207735</v>
      </c>
      <c r="N36" s="224">
        <v>281.35265700483114</v>
      </c>
      <c r="O36" s="224">
        <v>9.0434782608695627</v>
      </c>
      <c r="P36" s="224">
        <v>1.0048309178743993</v>
      </c>
      <c r="Q36" s="224">
        <v>0</v>
      </c>
      <c r="R36" s="224">
        <v>0</v>
      </c>
      <c r="S36" s="224">
        <v>0</v>
      </c>
      <c r="T36" s="224">
        <v>0</v>
      </c>
      <c r="U36" s="224">
        <v>0</v>
      </c>
      <c r="V36" s="224">
        <v>0</v>
      </c>
      <c r="W36" s="224">
        <v>0</v>
      </c>
      <c r="X36" s="224">
        <v>0</v>
      </c>
      <c r="Y36" s="224">
        <v>241.88764044943804</v>
      </c>
      <c r="Z36" s="224">
        <v>0</v>
      </c>
      <c r="AA36" s="224">
        <v>190.75825884181887</v>
      </c>
      <c r="AB36" s="224">
        <v>0</v>
      </c>
      <c r="AC36" s="224">
        <v>20.653097913322618</v>
      </c>
      <c r="AD36" s="221">
        <v>0</v>
      </c>
      <c r="AE36" s="230">
        <v>2456912.64</v>
      </c>
      <c r="AF36" s="128">
        <v>0</v>
      </c>
      <c r="AG36" s="233">
        <v>0</v>
      </c>
      <c r="AH36" s="240">
        <v>77109.232200000115</v>
      </c>
      <c r="AI36" s="237">
        <v>0</v>
      </c>
      <c r="AJ36" s="243">
        <v>129039.93960000019</v>
      </c>
      <c r="AK36" s="251">
        <v>0</v>
      </c>
      <c r="AL36" s="259">
        <v>74319.22054492755</v>
      </c>
      <c r="AM36" s="256">
        <v>88240.943304347893</v>
      </c>
      <c r="AN36" s="243">
        <v>4428.6338086956512</v>
      </c>
      <c r="AO36" s="129">
        <v>536.30147246376987</v>
      </c>
      <c r="AP36" s="129">
        <v>0</v>
      </c>
      <c r="AQ36" s="129">
        <v>0</v>
      </c>
      <c r="AR36" s="129">
        <v>0</v>
      </c>
      <c r="AS36" s="129">
        <v>0</v>
      </c>
      <c r="AT36" s="129">
        <v>0</v>
      </c>
      <c r="AU36" s="129">
        <v>0</v>
      </c>
      <c r="AV36" s="129">
        <v>0</v>
      </c>
      <c r="AW36" s="129">
        <v>0</v>
      </c>
      <c r="AX36" s="129">
        <v>157050.72695730327</v>
      </c>
      <c r="AY36" s="129">
        <v>0</v>
      </c>
      <c r="AZ36" s="129">
        <v>245608.54522432954</v>
      </c>
      <c r="BA36" s="129">
        <v>0</v>
      </c>
      <c r="BB36" s="129">
        <v>21818.791804507211</v>
      </c>
      <c r="BC36" s="251">
        <v>0</v>
      </c>
      <c r="BD36" s="252"/>
      <c r="BE36" s="252">
        <v>151599.37</v>
      </c>
      <c r="BF36" s="254"/>
      <c r="BG36" s="259">
        <v>13084</v>
      </c>
      <c r="BH36" s="256">
        <v>0</v>
      </c>
      <c r="BI36" s="243"/>
      <c r="BJ36" s="129"/>
      <c r="BK36" s="129"/>
      <c r="BL36" s="251">
        <v>2456912.64</v>
      </c>
      <c r="BM36" s="259">
        <v>798152.33491657535</v>
      </c>
      <c r="BN36" s="259">
        <v>164683.37</v>
      </c>
      <c r="BO36" s="259">
        <v>462311.71419437684</v>
      </c>
      <c r="BP36" s="136">
        <v>3419748.3449165756</v>
      </c>
      <c r="BQ36" s="136">
        <v>3419578.6169165755</v>
      </c>
      <c r="BR36" s="267">
        <v>0</v>
      </c>
      <c r="BS36" s="136">
        <v>3254895.2469165754</v>
      </c>
      <c r="BT36" s="271">
        <v>5216.1782803150245</v>
      </c>
      <c r="BU36" s="271">
        <v>5258.0782738562093</v>
      </c>
      <c r="BV36" s="275">
        <v>-7.9686895779997359E-3</v>
      </c>
      <c r="BW36" s="275">
        <v>1.2968689577999737E-2</v>
      </c>
      <c r="BX36" s="278">
        <v>42381.072184130739</v>
      </c>
      <c r="BY36" s="288">
        <v>3462129.4171007061</v>
      </c>
      <c r="BZ36" s="256">
        <v>0</v>
      </c>
      <c r="CA36" s="263">
        <v>0</v>
      </c>
      <c r="CB36" s="296">
        <v>3462129.4171007061</v>
      </c>
      <c r="CC36" s="2"/>
      <c r="CD36" s="521">
        <f>VLOOKUP(B36,'EYSFF (Universal)'!$A$10:$AC$66,29,0)</f>
        <v>178984.06465384614</v>
      </c>
      <c r="CE36" s="523">
        <f>VLOOKUP(B36,'EYSFF (Additional)'!$A$11:$AB$57,28,0)</f>
        <v>20214.126099999998</v>
      </c>
      <c r="CF36" s="518"/>
      <c r="CG36" s="112"/>
      <c r="CH36" s="566">
        <v>0</v>
      </c>
      <c r="CI36" s="114">
        <v>203279.33333333334</v>
      </c>
      <c r="CK36" s="111"/>
      <c r="CL36" s="111"/>
      <c r="CM36" s="556"/>
      <c r="CN36" s="560"/>
      <c r="CO36" s="2">
        <v>0</v>
      </c>
      <c r="CP36" s="571"/>
      <c r="CQ36" s="547"/>
      <c r="CR36" s="544"/>
      <c r="CS36" s="114"/>
      <c r="CT36" s="2"/>
    </row>
    <row r="37" spans="1:98" ht="14" x14ac:dyDescent="0.25">
      <c r="A37" s="60">
        <v>3122052</v>
      </c>
      <c r="B37" s="145">
        <v>2052</v>
      </c>
      <c r="C37" s="211" t="s">
        <v>182</v>
      </c>
      <c r="D37" s="217">
        <v>384</v>
      </c>
      <c r="E37" s="224">
        <v>384</v>
      </c>
      <c r="F37" s="224">
        <v>0</v>
      </c>
      <c r="G37" s="224">
        <v>0</v>
      </c>
      <c r="H37" s="224">
        <v>0</v>
      </c>
      <c r="I37" s="224">
        <v>117</v>
      </c>
      <c r="J37" s="221">
        <v>0</v>
      </c>
      <c r="K37" s="214">
        <v>123</v>
      </c>
      <c r="L37" s="224">
        <v>0</v>
      </c>
      <c r="M37" s="224">
        <v>25.999999999999986</v>
      </c>
      <c r="N37" s="224">
        <v>172.99999999999986</v>
      </c>
      <c r="O37" s="224">
        <v>33</v>
      </c>
      <c r="P37" s="224">
        <v>4.9999999999999902</v>
      </c>
      <c r="Q37" s="224">
        <v>0</v>
      </c>
      <c r="R37" s="224">
        <v>0</v>
      </c>
      <c r="S37" s="224">
        <v>0</v>
      </c>
      <c r="T37" s="224">
        <v>0</v>
      </c>
      <c r="U37" s="224">
        <v>0</v>
      </c>
      <c r="V37" s="224">
        <v>0</v>
      </c>
      <c r="W37" s="224">
        <v>0</v>
      </c>
      <c r="X37" s="224">
        <v>0</v>
      </c>
      <c r="Y37" s="224">
        <v>85.999999999999901</v>
      </c>
      <c r="Z37" s="224">
        <v>0</v>
      </c>
      <c r="AA37" s="224">
        <v>99.901750335990698</v>
      </c>
      <c r="AB37" s="224">
        <v>0</v>
      </c>
      <c r="AC37" s="224">
        <v>0</v>
      </c>
      <c r="AD37" s="221">
        <v>0</v>
      </c>
      <c r="AE37" s="230">
        <v>1511946.24</v>
      </c>
      <c r="AF37" s="128">
        <v>0</v>
      </c>
      <c r="AG37" s="233">
        <v>0</v>
      </c>
      <c r="AH37" s="240">
        <v>63089.371800000001</v>
      </c>
      <c r="AI37" s="237">
        <v>0</v>
      </c>
      <c r="AJ37" s="243">
        <v>110992.3956</v>
      </c>
      <c r="AK37" s="251">
        <v>0</v>
      </c>
      <c r="AL37" s="259">
        <v>6723.8105999999962</v>
      </c>
      <c r="AM37" s="256">
        <v>54258.180299999956</v>
      </c>
      <c r="AN37" s="243">
        <v>16160.2551</v>
      </c>
      <c r="AO37" s="129">
        <v>2668.6154999999931</v>
      </c>
      <c r="AP37" s="129">
        <v>0</v>
      </c>
      <c r="AQ37" s="129">
        <v>0</v>
      </c>
      <c r="AR37" s="129">
        <v>0</v>
      </c>
      <c r="AS37" s="129">
        <v>0</v>
      </c>
      <c r="AT37" s="129">
        <v>0</v>
      </c>
      <c r="AU37" s="129">
        <v>0</v>
      </c>
      <c r="AV37" s="129">
        <v>0</v>
      </c>
      <c r="AW37" s="129">
        <v>0</v>
      </c>
      <c r="AX37" s="129">
        <v>55837.340399999914</v>
      </c>
      <c r="AY37" s="129">
        <v>0</v>
      </c>
      <c r="AZ37" s="129">
        <v>128627.31980445089</v>
      </c>
      <c r="BA37" s="129">
        <v>0</v>
      </c>
      <c r="BB37" s="129">
        <v>0</v>
      </c>
      <c r="BC37" s="251">
        <v>0</v>
      </c>
      <c r="BD37" s="252"/>
      <c r="BE37" s="252">
        <v>151599.37</v>
      </c>
      <c r="BF37" s="254"/>
      <c r="BG37" s="259">
        <v>43890</v>
      </c>
      <c r="BH37" s="256">
        <v>6650</v>
      </c>
      <c r="BI37" s="243"/>
      <c r="BJ37" s="129"/>
      <c r="BK37" s="129"/>
      <c r="BL37" s="251">
        <v>1511946.24</v>
      </c>
      <c r="BM37" s="259">
        <v>438357.28910445079</v>
      </c>
      <c r="BN37" s="259">
        <v>202139.37</v>
      </c>
      <c r="BO37" s="259">
        <v>266810.3876411838</v>
      </c>
      <c r="BP37" s="136">
        <v>2152442.8991044508</v>
      </c>
      <c r="BQ37" s="136">
        <v>2152338.451104451</v>
      </c>
      <c r="BR37" s="267">
        <v>0</v>
      </c>
      <c r="BS37" s="136">
        <v>1950199.0811044509</v>
      </c>
      <c r="BT37" s="271">
        <v>5078.6434403761741</v>
      </c>
      <c r="BU37" s="271">
        <v>5153.1154945454546</v>
      </c>
      <c r="BV37" s="275">
        <v>-1.4451850389945408E-2</v>
      </c>
      <c r="BW37" s="275">
        <v>1.9451850389945409E-2</v>
      </c>
      <c r="BX37" s="278">
        <v>38386.802550530992</v>
      </c>
      <c r="BY37" s="288">
        <v>2190829.7016549818</v>
      </c>
      <c r="BZ37" s="256">
        <v>-491.52</v>
      </c>
      <c r="CA37" s="263">
        <v>-4197.12</v>
      </c>
      <c r="CB37" s="296">
        <v>2186141.0616549817</v>
      </c>
      <c r="CC37" s="2"/>
      <c r="CD37" s="521"/>
      <c r="CE37" s="523"/>
      <c r="CF37" s="514"/>
      <c r="CG37" s="100"/>
      <c r="CH37" s="565">
        <v>0</v>
      </c>
      <c r="CI37" s="114">
        <v>108305.66666666667</v>
      </c>
      <c r="CK37" s="111">
        <v>176055</v>
      </c>
      <c r="CL37" s="111">
        <v>1340</v>
      </c>
      <c r="CM37" s="556">
        <v>5060</v>
      </c>
      <c r="CN37" s="560">
        <v>8258</v>
      </c>
      <c r="CO37" s="2">
        <v>35749.71428571429</v>
      </c>
      <c r="CP37" s="571"/>
      <c r="CQ37" s="547">
        <v>8230</v>
      </c>
      <c r="CR37" s="544"/>
      <c r="CS37" s="114"/>
      <c r="CT37" s="2"/>
    </row>
    <row r="38" spans="1:98" ht="14" x14ac:dyDescent="0.25">
      <c r="A38" s="60">
        <v>3122054</v>
      </c>
      <c r="B38" s="145">
        <v>2054</v>
      </c>
      <c r="C38" s="211" t="s">
        <v>184</v>
      </c>
      <c r="D38" s="217">
        <v>312</v>
      </c>
      <c r="E38" s="224">
        <v>312</v>
      </c>
      <c r="F38" s="224">
        <v>0</v>
      </c>
      <c r="G38" s="224">
        <v>0</v>
      </c>
      <c r="H38" s="224">
        <v>0</v>
      </c>
      <c r="I38" s="224">
        <v>33.000000000000071</v>
      </c>
      <c r="J38" s="221">
        <v>0</v>
      </c>
      <c r="K38" s="214">
        <v>34.000000000000007</v>
      </c>
      <c r="L38" s="224">
        <v>0</v>
      </c>
      <c r="M38" s="224">
        <v>63.000000000000028</v>
      </c>
      <c r="N38" s="224">
        <v>3.0000000000000013</v>
      </c>
      <c r="O38" s="224">
        <v>0</v>
      </c>
      <c r="P38" s="224">
        <v>0</v>
      </c>
      <c r="Q38" s="224">
        <v>0</v>
      </c>
      <c r="R38" s="224">
        <v>0</v>
      </c>
      <c r="S38" s="224">
        <v>0</v>
      </c>
      <c r="T38" s="224">
        <v>0</v>
      </c>
      <c r="U38" s="224">
        <v>0</v>
      </c>
      <c r="V38" s="224">
        <v>0</v>
      </c>
      <c r="W38" s="224">
        <v>0</v>
      </c>
      <c r="X38" s="224">
        <v>0</v>
      </c>
      <c r="Y38" s="224">
        <v>21.999999999999996</v>
      </c>
      <c r="Z38" s="224">
        <v>0</v>
      </c>
      <c r="AA38" s="224">
        <v>59.1110399531902</v>
      </c>
      <c r="AB38" s="224">
        <v>0</v>
      </c>
      <c r="AC38" s="224">
        <v>0</v>
      </c>
      <c r="AD38" s="221">
        <v>0</v>
      </c>
      <c r="AE38" s="230">
        <v>1228456.32</v>
      </c>
      <c r="AF38" s="128">
        <v>0</v>
      </c>
      <c r="AG38" s="233">
        <v>0</v>
      </c>
      <c r="AH38" s="240">
        <v>17794.438200000041</v>
      </c>
      <c r="AI38" s="237">
        <v>0</v>
      </c>
      <c r="AJ38" s="243">
        <v>30680.824800000006</v>
      </c>
      <c r="AK38" s="251">
        <v>0</v>
      </c>
      <c r="AL38" s="259">
        <v>16292.310300000006</v>
      </c>
      <c r="AM38" s="256">
        <v>940.89330000000041</v>
      </c>
      <c r="AN38" s="243">
        <v>0</v>
      </c>
      <c r="AO38" s="129">
        <v>0</v>
      </c>
      <c r="AP38" s="129">
        <v>0</v>
      </c>
      <c r="AQ38" s="129">
        <v>0</v>
      </c>
      <c r="AR38" s="129">
        <v>0</v>
      </c>
      <c r="AS38" s="129">
        <v>0</v>
      </c>
      <c r="AT38" s="129">
        <v>0</v>
      </c>
      <c r="AU38" s="129">
        <v>0</v>
      </c>
      <c r="AV38" s="129">
        <v>0</v>
      </c>
      <c r="AW38" s="129">
        <v>0</v>
      </c>
      <c r="AX38" s="129">
        <v>14283.970799999997</v>
      </c>
      <c r="AY38" s="129">
        <v>0</v>
      </c>
      <c r="AZ38" s="129">
        <v>76107.721981458642</v>
      </c>
      <c r="BA38" s="129">
        <v>0</v>
      </c>
      <c r="BB38" s="129">
        <v>0</v>
      </c>
      <c r="BC38" s="251">
        <v>0</v>
      </c>
      <c r="BD38" s="252"/>
      <c r="BE38" s="252">
        <v>151599.37</v>
      </c>
      <c r="BF38" s="254"/>
      <c r="BG38" s="259">
        <v>31388</v>
      </c>
      <c r="BH38" s="256">
        <v>-9443</v>
      </c>
      <c r="BI38" s="243"/>
      <c r="BJ38" s="129"/>
      <c r="BK38" s="129"/>
      <c r="BL38" s="251">
        <v>1228456.32</v>
      </c>
      <c r="BM38" s="259">
        <v>156100.15938145871</v>
      </c>
      <c r="BN38" s="259">
        <v>173544.37</v>
      </c>
      <c r="BO38" s="259">
        <v>142936.17565257114</v>
      </c>
      <c r="BP38" s="136">
        <v>1558100.8493814589</v>
      </c>
      <c r="BQ38" s="136">
        <v>1558015.9853814589</v>
      </c>
      <c r="BR38" s="267">
        <v>0</v>
      </c>
      <c r="BS38" s="136">
        <v>1384471.6153814588</v>
      </c>
      <c r="BT38" s="271">
        <v>4437.4090236585216</v>
      </c>
      <c r="BU38" s="271">
        <v>4361.3978489614246</v>
      </c>
      <c r="BV38" s="275">
        <v>1.7428168062034847E-2</v>
      </c>
      <c r="BW38" s="275">
        <v>0</v>
      </c>
      <c r="BX38" s="278">
        <v>0</v>
      </c>
      <c r="BY38" s="288">
        <v>1558100.8493814589</v>
      </c>
      <c r="BZ38" s="256">
        <v>-399.36</v>
      </c>
      <c r="CA38" s="263">
        <v>-3410.16</v>
      </c>
      <c r="CB38" s="296">
        <v>1554291.3293814589</v>
      </c>
      <c r="CC38" s="2"/>
      <c r="CD38" s="521"/>
      <c r="CE38" s="523"/>
      <c r="CF38" s="514"/>
      <c r="CG38" s="100"/>
      <c r="CH38" s="565">
        <v>0</v>
      </c>
      <c r="CI38" s="114">
        <v>83291.333333333328</v>
      </c>
      <c r="CK38" s="111">
        <v>40740</v>
      </c>
      <c r="CL38" s="111">
        <v>2345</v>
      </c>
      <c r="CM38" s="556">
        <v>15180</v>
      </c>
      <c r="CN38" s="560">
        <v>8054</v>
      </c>
      <c r="CO38" s="2">
        <v>27039.428571428572</v>
      </c>
      <c r="CP38" s="571"/>
      <c r="CQ38" s="547">
        <v>7690</v>
      </c>
      <c r="CR38" s="544"/>
      <c r="CS38" s="114"/>
      <c r="CT38" s="2"/>
    </row>
    <row r="39" spans="1:98" ht="14" x14ac:dyDescent="0.25">
      <c r="A39" s="60">
        <v>3122059</v>
      </c>
      <c r="B39" s="145">
        <v>2059</v>
      </c>
      <c r="C39" s="211" t="s">
        <v>30</v>
      </c>
      <c r="D39" s="217">
        <v>458</v>
      </c>
      <c r="E39" s="224">
        <v>458</v>
      </c>
      <c r="F39" s="224">
        <v>0</v>
      </c>
      <c r="G39" s="224">
        <v>0</v>
      </c>
      <c r="H39" s="224">
        <v>0</v>
      </c>
      <c r="I39" s="224">
        <v>180.99999999999983</v>
      </c>
      <c r="J39" s="221">
        <v>0</v>
      </c>
      <c r="K39" s="214">
        <v>184.00000000000014</v>
      </c>
      <c r="L39" s="224">
        <v>0</v>
      </c>
      <c r="M39" s="224">
        <v>152.99999999999997</v>
      </c>
      <c r="N39" s="224">
        <v>93.000000000000014</v>
      </c>
      <c r="O39" s="224">
        <v>3.9999999999999991</v>
      </c>
      <c r="P39" s="224">
        <v>0</v>
      </c>
      <c r="Q39" s="224">
        <v>17.999999999999993</v>
      </c>
      <c r="R39" s="224">
        <v>0</v>
      </c>
      <c r="S39" s="224">
        <v>0</v>
      </c>
      <c r="T39" s="224">
        <v>0</v>
      </c>
      <c r="U39" s="224">
        <v>0</v>
      </c>
      <c r="V39" s="224">
        <v>0</v>
      </c>
      <c r="W39" s="224">
        <v>0</v>
      </c>
      <c r="X39" s="224">
        <v>0</v>
      </c>
      <c r="Y39" s="224">
        <v>138.99999999999983</v>
      </c>
      <c r="Z39" s="224">
        <v>0</v>
      </c>
      <c r="AA39" s="224">
        <v>96.134902064376107</v>
      </c>
      <c r="AB39" s="224">
        <v>0</v>
      </c>
      <c r="AC39" s="224">
        <v>11.520000000000003</v>
      </c>
      <c r="AD39" s="221">
        <v>0</v>
      </c>
      <c r="AE39" s="230">
        <v>1803310.8800000001</v>
      </c>
      <c r="AF39" s="128">
        <v>0</v>
      </c>
      <c r="AG39" s="233">
        <v>0</v>
      </c>
      <c r="AH39" s="240">
        <v>97599.797399999909</v>
      </c>
      <c r="AI39" s="237">
        <v>0</v>
      </c>
      <c r="AJ39" s="243">
        <v>166037.40480000013</v>
      </c>
      <c r="AK39" s="251">
        <v>0</v>
      </c>
      <c r="AL39" s="259">
        <v>39567.039299999989</v>
      </c>
      <c r="AM39" s="256">
        <v>29167.692300000006</v>
      </c>
      <c r="AN39" s="243">
        <v>1958.8187999999996</v>
      </c>
      <c r="AO39" s="129">
        <v>0</v>
      </c>
      <c r="AP39" s="129">
        <v>10201.264199999996</v>
      </c>
      <c r="AQ39" s="129">
        <v>0</v>
      </c>
      <c r="AR39" s="129">
        <v>0</v>
      </c>
      <c r="AS39" s="129">
        <v>0</v>
      </c>
      <c r="AT39" s="129">
        <v>0</v>
      </c>
      <c r="AU39" s="129">
        <v>0</v>
      </c>
      <c r="AV39" s="129">
        <v>0</v>
      </c>
      <c r="AW39" s="129">
        <v>0</v>
      </c>
      <c r="AX39" s="129">
        <v>90248.724599999885</v>
      </c>
      <c r="AY39" s="129">
        <v>0</v>
      </c>
      <c r="AZ39" s="129">
        <v>123777.35876114306</v>
      </c>
      <c r="BA39" s="129">
        <v>0</v>
      </c>
      <c r="BB39" s="129">
        <v>12170.207232000004</v>
      </c>
      <c r="BC39" s="251">
        <v>0</v>
      </c>
      <c r="BD39" s="252"/>
      <c r="BE39" s="252">
        <v>151599.37</v>
      </c>
      <c r="BF39" s="254"/>
      <c r="BG39" s="259">
        <v>35378</v>
      </c>
      <c r="BH39" s="256">
        <v>9696</v>
      </c>
      <c r="BI39" s="243"/>
      <c r="BJ39" s="129"/>
      <c r="BK39" s="129"/>
      <c r="BL39" s="251">
        <v>1803310.8800000001</v>
      </c>
      <c r="BM39" s="259">
        <v>570728.30739314295</v>
      </c>
      <c r="BN39" s="259">
        <v>196673.37</v>
      </c>
      <c r="BO39" s="259">
        <v>300189.22163723456</v>
      </c>
      <c r="BP39" s="136">
        <v>2570712.557393143</v>
      </c>
      <c r="BQ39" s="136">
        <v>2570587.9813931431</v>
      </c>
      <c r="BR39" s="267">
        <v>0</v>
      </c>
      <c r="BS39" s="136">
        <v>2373914.611393143</v>
      </c>
      <c r="BT39" s="271">
        <v>5183.2196755308796</v>
      </c>
      <c r="BU39" s="271">
        <v>5296.2594739130436</v>
      </c>
      <c r="BV39" s="275">
        <v>-2.1343327104524704E-2</v>
      </c>
      <c r="BW39" s="275">
        <v>2.6343327104524705E-2</v>
      </c>
      <c r="BX39" s="278">
        <v>63776.085854292003</v>
      </c>
      <c r="BY39" s="288">
        <v>2634488.6432474349</v>
      </c>
      <c r="BZ39" s="256">
        <v>-586.24</v>
      </c>
      <c r="CA39" s="263">
        <v>-5005.9399999999996</v>
      </c>
      <c r="CB39" s="296">
        <v>2628896.4632474347</v>
      </c>
      <c r="CC39" s="2"/>
      <c r="CD39" s="521"/>
      <c r="CE39" s="523"/>
      <c r="CF39" s="514"/>
      <c r="CG39" s="100"/>
      <c r="CH39" s="565">
        <v>0</v>
      </c>
      <c r="CI39" s="114">
        <v>65414.333333333328</v>
      </c>
      <c r="CK39" s="111">
        <v>270630</v>
      </c>
      <c r="CL39" s="111">
        <v>0</v>
      </c>
      <c r="CM39" s="556">
        <v>0</v>
      </c>
      <c r="CN39" s="560">
        <v>8596</v>
      </c>
      <c r="CO39" s="2">
        <v>44715.428571428572</v>
      </c>
      <c r="CP39" s="571"/>
      <c r="CQ39" s="547">
        <v>9321.25</v>
      </c>
      <c r="CR39" s="544"/>
      <c r="CS39" s="114"/>
      <c r="CT39" s="2"/>
    </row>
    <row r="40" spans="1:98" ht="14" x14ac:dyDescent="0.25">
      <c r="A40" s="60">
        <v>3122060</v>
      </c>
      <c r="B40" s="145">
        <v>2060</v>
      </c>
      <c r="C40" s="211" t="s">
        <v>187</v>
      </c>
      <c r="D40" s="217">
        <v>341</v>
      </c>
      <c r="E40" s="224">
        <v>341</v>
      </c>
      <c r="F40" s="224">
        <v>0</v>
      </c>
      <c r="G40" s="224">
        <v>0</v>
      </c>
      <c r="H40" s="224">
        <v>0</v>
      </c>
      <c r="I40" s="224">
        <v>89.999999999999801</v>
      </c>
      <c r="J40" s="221">
        <v>0</v>
      </c>
      <c r="K40" s="214">
        <v>89.999999999999844</v>
      </c>
      <c r="L40" s="224">
        <v>0</v>
      </c>
      <c r="M40" s="224">
        <v>94.000000000000099</v>
      </c>
      <c r="N40" s="224">
        <v>80.000000000000199</v>
      </c>
      <c r="O40" s="224">
        <v>2.9999999999999996</v>
      </c>
      <c r="P40" s="224">
        <v>0.999999999999999</v>
      </c>
      <c r="Q40" s="224">
        <v>21.000000000000011</v>
      </c>
      <c r="R40" s="224">
        <v>0</v>
      </c>
      <c r="S40" s="224">
        <v>0</v>
      </c>
      <c r="T40" s="224">
        <v>0</v>
      </c>
      <c r="U40" s="224">
        <v>0</v>
      </c>
      <c r="V40" s="224">
        <v>0</v>
      </c>
      <c r="W40" s="224">
        <v>0</v>
      </c>
      <c r="X40" s="224">
        <v>0</v>
      </c>
      <c r="Y40" s="224">
        <v>265.73423423423401</v>
      </c>
      <c r="Z40" s="224">
        <v>0</v>
      </c>
      <c r="AA40" s="224">
        <v>114.195348837209</v>
      </c>
      <c r="AB40" s="224">
        <v>0</v>
      </c>
      <c r="AC40" s="224">
        <v>0</v>
      </c>
      <c r="AD40" s="221">
        <v>0</v>
      </c>
      <c r="AE40" s="230">
        <v>1342639.76</v>
      </c>
      <c r="AF40" s="128">
        <v>0</v>
      </c>
      <c r="AG40" s="233">
        <v>0</v>
      </c>
      <c r="AH40" s="240">
        <v>48530.28599999992</v>
      </c>
      <c r="AI40" s="237">
        <v>0</v>
      </c>
      <c r="AJ40" s="243">
        <v>81213.947999999858</v>
      </c>
      <c r="AK40" s="251">
        <v>0</v>
      </c>
      <c r="AL40" s="259">
        <v>24309.161400000015</v>
      </c>
      <c r="AM40" s="256">
        <v>25090.488000000052</v>
      </c>
      <c r="AN40" s="243">
        <v>1469.1140999999998</v>
      </c>
      <c r="AO40" s="129">
        <v>533.72309999999936</v>
      </c>
      <c r="AP40" s="129">
        <v>11901.474900000007</v>
      </c>
      <c r="AQ40" s="129">
        <v>0</v>
      </c>
      <c r="AR40" s="129">
        <v>0</v>
      </c>
      <c r="AS40" s="129">
        <v>0</v>
      </c>
      <c r="AT40" s="129">
        <v>0</v>
      </c>
      <c r="AU40" s="129">
        <v>0</v>
      </c>
      <c r="AV40" s="129">
        <v>0</v>
      </c>
      <c r="AW40" s="129">
        <v>0</v>
      </c>
      <c r="AX40" s="129">
        <v>172533.63828918911</v>
      </c>
      <c r="AY40" s="129">
        <v>0</v>
      </c>
      <c r="AZ40" s="129">
        <v>147030.87389023253</v>
      </c>
      <c r="BA40" s="129">
        <v>0</v>
      </c>
      <c r="BB40" s="129">
        <v>0</v>
      </c>
      <c r="BC40" s="251">
        <v>0</v>
      </c>
      <c r="BD40" s="252"/>
      <c r="BE40" s="252">
        <v>151599.37</v>
      </c>
      <c r="BF40" s="254"/>
      <c r="BG40" s="259">
        <v>35378</v>
      </c>
      <c r="BH40" s="256">
        <v>9576</v>
      </c>
      <c r="BI40" s="243"/>
      <c r="BJ40" s="129"/>
      <c r="BK40" s="129"/>
      <c r="BL40" s="251">
        <v>1342639.76</v>
      </c>
      <c r="BM40" s="259">
        <v>512612.70767942152</v>
      </c>
      <c r="BN40" s="259">
        <v>196553.37</v>
      </c>
      <c r="BO40" s="259">
        <v>257186.28878181853</v>
      </c>
      <c r="BP40" s="136">
        <v>2051805.8376794215</v>
      </c>
      <c r="BQ40" s="136">
        <v>2051713.0856794217</v>
      </c>
      <c r="BR40" s="267">
        <v>0</v>
      </c>
      <c r="BS40" s="136">
        <v>1855159.7156794216</v>
      </c>
      <c r="BT40" s="271">
        <v>5440.3510723736699</v>
      </c>
      <c r="BU40" s="271">
        <v>5556.8802385507242</v>
      </c>
      <c r="BV40" s="275">
        <v>-2.0970249703896084E-2</v>
      </c>
      <c r="BW40" s="275">
        <v>2.5970249703896085E-2</v>
      </c>
      <c r="BX40" s="278">
        <v>49118.174473104496</v>
      </c>
      <c r="BY40" s="288">
        <v>2100924.0121525261</v>
      </c>
      <c r="BZ40" s="256">
        <v>-436.48</v>
      </c>
      <c r="CA40" s="263">
        <v>-3727.13</v>
      </c>
      <c r="CB40" s="296">
        <v>2096760.4021525262</v>
      </c>
      <c r="CC40" s="2"/>
      <c r="CD40" s="521">
        <f>VLOOKUP(B40,'EYSFF (Universal)'!$A$10:$AC$66,29,0)</f>
        <v>381048.17825892859</v>
      </c>
      <c r="CE40" s="523">
        <f>VLOOKUP(B40,'EYSFF (Additional)'!$A$11:$AB$57,28,0)</f>
        <v>42252.803062499996</v>
      </c>
      <c r="CF40" s="514"/>
      <c r="CG40" s="100"/>
      <c r="CH40" s="565">
        <v>0</v>
      </c>
      <c r="CI40" s="114">
        <v>87264</v>
      </c>
      <c r="CK40" s="111">
        <v>146955</v>
      </c>
      <c r="CL40" s="111">
        <v>0</v>
      </c>
      <c r="CM40" s="556">
        <v>5060</v>
      </c>
      <c r="CN40" s="560">
        <v>7612</v>
      </c>
      <c r="CO40" s="2">
        <v>31858.28571428571</v>
      </c>
      <c r="CP40" s="571">
        <v>110561</v>
      </c>
      <c r="CQ40" s="547">
        <v>8601.25</v>
      </c>
      <c r="CR40" s="544"/>
      <c r="CS40" s="114"/>
      <c r="CT40" s="2"/>
    </row>
    <row r="41" spans="1:98" ht="14" x14ac:dyDescent="0.25">
      <c r="A41" s="60">
        <v>3122061</v>
      </c>
      <c r="B41" s="145">
        <v>2061</v>
      </c>
      <c r="C41" s="211" t="s">
        <v>102</v>
      </c>
      <c r="D41" s="217">
        <v>420</v>
      </c>
      <c r="E41" s="224">
        <v>420</v>
      </c>
      <c r="F41" s="224">
        <v>0</v>
      </c>
      <c r="G41" s="224">
        <v>0</v>
      </c>
      <c r="H41" s="224">
        <v>0</v>
      </c>
      <c r="I41" s="224">
        <v>94.999999999999915</v>
      </c>
      <c r="J41" s="221">
        <v>0</v>
      </c>
      <c r="K41" s="214">
        <v>97.000000000000014</v>
      </c>
      <c r="L41" s="224">
        <v>0</v>
      </c>
      <c r="M41" s="224">
        <v>65.000000000000099</v>
      </c>
      <c r="N41" s="224">
        <v>47.000000000000043</v>
      </c>
      <c r="O41" s="224">
        <v>29.999999999999986</v>
      </c>
      <c r="P41" s="224">
        <v>0</v>
      </c>
      <c r="Q41" s="224">
        <v>0</v>
      </c>
      <c r="R41" s="224">
        <v>0</v>
      </c>
      <c r="S41" s="224">
        <v>0</v>
      </c>
      <c r="T41" s="224">
        <v>0</v>
      </c>
      <c r="U41" s="224">
        <v>0</v>
      </c>
      <c r="V41" s="224">
        <v>0</v>
      </c>
      <c r="W41" s="224">
        <v>0</v>
      </c>
      <c r="X41" s="224">
        <v>0</v>
      </c>
      <c r="Y41" s="224">
        <v>92.166666666666472</v>
      </c>
      <c r="Z41" s="224">
        <v>0</v>
      </c>
      <c r="AA41" s="224">
        <v>130.45389782210464</v>
      </c>
      <c r="AB41" s="224">
        <v>0</v>
      </c>
      <c r="AC41" s="224">
        <v>12.890692124105</v>
      </c>
      <c r="AD41" s="221">
        <v>0</v>
      </c>
      <c r="AE41" s="230">
        <v>1653691.2</v>
      </c>
      <c r="AF41" s="128">
        <v>0</v>
      </c>
      <c r="AG41" s="233">
        <v>0</v>
      </c>
      <c r="AH41" s="240">
        <v>51226.412999999957</v>
      </c>
      <c r="AI41" s="237">
        <v>0</v>
      </c>
      <c r="AJ41" s="243">
        <v>87530.588400000008</v>
      </c>
      <c r="AK41" s="251">
        <v>0</v>
      </c>
      <c r="AL41" s="259">
        <v>16809.526500000025</v>
      </c>
      <c r="AM41" s="256">
        <v>14740.661700000013</v>
      </c>
      <c r="AN41" s="243">
        <v>14691.140999999992</v>
      </c>
      <c r="AO41" s="129">
        <v>0</v>
      </c>
      <c r="AP41" s="129">
        <v>0</v>
      </c>
      <c r="AQ41" s="129">
        <v>0</v>
      </c>
      <c r="AR41" s="129">
        <v>0</v>
      </c>
      <c r="AS41" s="129">
        <v>0</v>
      </c>
      <c r="AT41" s="129">
        <v>0</v>
      </c>
      <c r="AU41" s="129">
        <v>0</v>
      </c>
      <c r="AV41" s="129">
        <v>0</v>
      </c>
      <c r="AW41" s="129">
        <v>0</v>
      </c>
      <c r="AX41" s="129">
        <v>59841.180699999873</v>
      </c>
      <c r="AY41" s="129">
        <v>0</v>
      </c>
      <c r="AZ41" s="129">
        <v>167964.37678485652</v>
      </c>
      <c r="BA41" s="129">
        <v>0</v>
      </c>
      <c r="BB41" s="129">
        <v>13618.263412696886</v>
      </c>
      <c r="BC41" s="251">
        <v>0</v>
      </c>
      <c r="BD41" s="252"/>
      <c r="BE41" s="252">
        <v>151599.37</v>
      </c>
      <c r="BF41" s="254"/>
      <c r="BG41" s="259">
        <v>67116</v>
      </c>
      <c r="BH41" s="256">
        <v>0</v>
      </c>
      <c r="BI41" s="243"/>
      <c r="BJ41" s="129"/>
      <c r="BK41" s="129"/>
      <c r="BL41" s="251">
        <v>1653691.2</v>
      </c>
      <c r="BM41" s="259">
        <v>426422.15149755334</v>
      </c>
      <c r="BN41" s="259">
        <v>218715.37</v>
      </c>
      <c r="BO41" s="259">
        <v>285677.22440205055</v>
      </c>
      <c r="BP41" s="136">
        <v>2298828.7214975534</v>
      </c>
      <c r="BQ41" s="136">
        <v>2298714.4814975532</v>
      </c>
      <c r="BR41" s="267">
        <v>0</v>
      </c>
      <c r="BS41" s="136">
        <v>2079999.1114975535</v>
      </c>
      <c r="BT41" s="271">
        <v>4952.3788368989372</v>
      </c>
      <c r="BU41" s="271">
        <v>4778.4374095588228</v>
      </c>
      <c r="BV41" s="275">
        <v>3.6401319601290713E-2</v>
      </c>
      <c r="BW41" s="275">
        <v>0</v>
      </c>
      <c r="BX41" s="278">
        <v>0</v>
      </c>
      <c r="BY41" s="288">
        <v>2298828.7214975534</v>
      </c>
      <c r="BZ41" s="256">
        <v>0</v>
      </c>
      <c r="CA41" s="263">
        <v>0</v>
      </c>
      <c r="CB41" s="296">
        <v>2298828.7214975534</v>
      </c>
      <c r="CC41" s="2"/>
      <c r="CD41" s="521">
        <f>VLOOKUP(B41,'EYSFF (Universal)'!$A$10:$AC$66,29,0)</f>
        <v>116352.31200000001</v>
      </c>
      <c r="CE41" s="523"/>
      <c r="CF41" s="514"/>
      <c r="CG41" s="100"/>
      <c r="CH41" s="565">
        <v>0</v>
      </c>
      <c r="CI41" s="114">
        <v>82365.5</v>
      </c>
      <c r="CK41" s="111"/>
      <c r="CL41" s="111"/>
      <c r="CM41" s="556"/>
      <c r="CN41" s="560"/>
      <c r="CO41" s="2">
        <v>0</v>
      </c>
      <c r="CP41" s="571"/>
      <c r="CQ41" s="547"/>
      <c r="CR41" s="544"/>
      <c r="CS41" s="114"/>
      <c r="CT41" s="2"/>
    </row>
    <row r="42" spans="1:98" ht="14" x14ac:dyDescent="0.25">
      <c r="A42" s="60">
        <v>3122063</v>
      </c>
      <c r="B42" s="145">
        <v>2063</v>
      </c>
      <c r="C42" s="211" t="s">
        <v>108</v>
      </c>
      <c r="D42" s="217">
        <v>267</v>
      </c>
      <c r="E42" s="224">
        <v>267</v>
      </c>
      <c r="F42" s="224">
        <v>0</v>
      </c>
      <c r="G42" s="224">
        <v>0</v>
      </c>
      <c r="H42" s="224">
        <v>0</v>
      </c>
      <c r="I42" s="224">
        <v>73.000000000000114</v>
      </c>
      <c r="J42" s="221">
        <v>0</v>
      </c>
      <c r="K42" s="214">
        <v>74.999999999999901</v>
      </c>
      <c r="L42" s="224">
        <v>0</v>
      </c>
      <c r="M42" s="224">
        <v>46.999999999999872</v>
      </c>
      <c r="N42" s="224">
        <v>81.000000000000014</v>
      </c>
      <c r="O42" s="224">
        <v>3.0000000000000062</v>
      </c>
      <c r="P42" s="224">
        <v>3.0000000000000062</v>
      </c>
      <c r="Q42" s="224">
        <v>2</v>
      </c>
      <c r="R42" s="224">
        <v>0</v>
      </c>
      <c r="S42" s="224">
        <v>0</v>
      </c>
      <c r="T42" s="224">
        <v>0</v>
      </c>
      <c r="U42" s="224">
        <v>0</v>
      </c>
      <c r="V42" s="224">
        <v>0</v>
      </c>
      <c r="W42" s="224">
        <v>0</v>
      </c>
      <c r="X42" s="224">
        <v>0</v>
      </c>
      <c r="Y42" s="224">
        <v>65.067226890756402</v>
      </c>
      <c r="Z42" s="224">
        <v>0</v>
      </c>
      <c r="AA42" s="224">
        <v>65.352350159490626</v>
      </c>
      <c r="AB42" s="224">
        <v>0</v>
      </c>
      <c r="AC42" s="224">
        <v>17.979999999999876</v>
      </c>
      <c r="AD42" s="221">
        <v>0</v>
      </c>
      <c r="AE42" s="230">
        <v>1051275.1200000001</v>
      </c>
      <c r="AF42" s="128">
        <v>0</v>
      </c>
      <c r="AG42" s="233">
        <v>0</v>
      </c>
      <c r="AH42" s="240">
        <v>39363.454200000066</v>
      </c>
      <c r="AI42" s="237">
        <v>0</v>
      </c>
      <c r="AJ42" s="243">
        <v>67678.289999999906</v>
      </c>
      <c r="AK42" s="251">
        <v>0</v>
      </c>
      <c r="AL42" s="259">
        <v>12154.580699999966</v>
      </c>
      <c r="AM42" s="256">
        <v>25404.119100000004</v>
      </c>
      <c r="AN42" s="243">
        <v>1469.114100000003</v>
      </c>
      <c r="AO42" s="129">
        <v>1601.1693000000034</v>
      </c>
      <c r="AP42" s="129">
        <v>1133.4738</v>
      </c>
      <c r="AQ42" s="129">
        <v>0</v>
      </c>
      <c r="AR42" s="129">
        <v>0</v>
      </c>
      <c r="AS42" s="129">
        <v>0</v>
      </c>
      <c r="AT42" s="129">
        <v>0</v>
      </c>
      <c r="AU42" s="129">
        <v>0</v>
      </c>
      <c r="AV42" s="129">
        <v>0</v>
      </c>
      <c r="AW42" s="129">
        <v>0</v>
      </c>
      <c r="AX42" s="129">
        <v>42246.289497479054</v>
      </c>
      <c r="AY42" s="129">
        <v>0</v>
      </c>
      <c r="AZ42" s="129">
        <v>84143.647290120265</v>
      </c>
      <c r="BA42" s="129">
        <v>0</v>
      </c>
      <c r="BB42" s="129">
        <v>18994.819967999872</v>
      </c>
      <c r="BC42" s="251">
        <v>0</v>
      </c>
      <c r="BD42" s="252"/>
      <c r="BE42" s="252">
        <v>151599.37</v>
      </c>
      <c r="BF42" s="254"/>
      <c r="BG42" s="259">
        <v>54769.4</v>
      </c>
      <c r="BH42" s="256">
        <v>6281.3499999999985</v>
      </c>
      <c r="BI42" s="243"/>
      <c r="BJ42" s="129"/>
      <c r="BK42" s="129"/>
      <c r="BL42" s="251">
        <v>1051275.1200000001</v>
      </c>
      <c r="BM42" s="259">
        <v>294188.95795559912</v>
      </c>
      <c r="BN42" s="259">
        <v>212650.12</v>
      </c>
      <c r="BO42" s="259">
        <v>175217.51320695298</v>
      </c>
      <c r="BP42" s="136">
        <v>1558114.1979555991</v>
      </c>
      <c r="BQ42" s="136">
        <v>1558041.5739555992</v>
      </c>
      <c r="BR42" s="267">
        <v>0</v>
      </c>
      <c r="BS42" s="136">
        <v>1345391.4539555991</v>
      </c>
      <c r="BT42" s="271">
        <v>5038.9193032044914</v>
      </c>
      <c r="BU42" s="271">
        <v>4886.3901549828179</v>
      </c>
      <c r="BV42" s="275">
        <v>3.1215098136634534E-2</v>
      </c>
      <c r="BW42" s="275">
        <v>0</v>
      </c>
      <c r="BX42" s="278">
        <v>0</v>
      </c>
      <c r="BY42" s="288">
        <v>1558114.1979555991</v>
      </c>
      <c r="BZ42" s="256">
        <v>-341.76</v>
      </c>
      <c r="CA42" s="263">
        <v>-2918.31</v>
      </c>
      <c r="CB42" s="296">
        <v>1554854.127955599</v>
      </c>
      <c r="CC42" s="2"/>
      <c r="CD42" s="521">
        <f>VLOOKUP(B42,'EYSFF (Universal)'!$A$10:$AC$66,29,0)</f>
        <v>97204.930714285714</v>
      </c>
      <c r="CE42" s="523">
        <f>VLOOKUP(B42,'EYSFF (Additional)'!$A$11:$AB$57,28,0)</f>
        <v>23484.57</v>
      </c>
      <c r="CF42" s="514"/>
      <c r="CG42" s="100"/>
      <c r="CH42" s="565">
        <v>0</v>
      </c>
      <c r="CI42" s="114">
        <v>8585</v>
      </c>
      <c r="CK42" s="111">
        <v>109125</v>
      </c>
      <c r="CL42" s="111">
        <v>0</v>
      </c>
      <c r="CM42" s="556">
        <v>0</v>
      </c>
      <c r="CN42" s="560">
        <v>7771</v>
      </c>
      <c r="CO42" s="2">
        <v>26664</v>
      </c>
      <c r="CP42" s="571">
        <v>43503.35</v>
      </c>
      <c r="CQ42" s="547">
        <v>7611.25</v>
      </c>
      <c r="CR42" s="544"/>
      <c r="CS42" s="114"/>
      <c r="CT42" s="2"/>
    </row>
    <row r="43" spans="1:98" ht="14" x14ac:dyDescent="0.25">
      <c r="A43" s="60">
        <v>3122064</v>
      </c>
      <c r="B43" s="145">
        <v>2064</v>
      </c>
      <c r="C43" s="211" t="s">
        <v>144</v>
      </c>
      <c r="D43" s="217">
        <v>591</v>
      </c>
      <c r="E43" s="224">
        <v>591</v>
      </c>
      <c r="F43" s="224">
        <v>0</v>
      </c>
      <c r="G43" s="224">
        <v>0</v>
      </c>
      <c r="H43" s="224">
        <v>0</v>
      </c>
      <c r="I43" s="224">
        <v>164.99999999999983</v>
      </c>
      <c r="J43" s="221">
        <v>0</v>
      </c>
      <c r="K43" s="214">
        <v>173.9999999999998</v>
      </c>
      <c r="L43" s="224">
        <v>0</v>
      </c>
      <c r="M43" s="224">
        <v>182.30847457627092</v>
      </c>
      <c r="N43" s="224">
        <v>221.37457627118661</v>
      </c>
      <c r="O43" s="224">
        <v>79.133898305084898</v>
      </c>
      <c r="P43" s="224">
        <v>61.103389830508725</v>
      </c>
      <c r="Q43" s="224">
        <v>0</v>
      </c>
      <c r="R43" s="224">
        <v>0</v>
      </c>
      <c r="S43" s="224">
        <v>0</v>
      </c>
      <c r="T43" s="224">
        <v>0</v>
      </c>
      <c r="U43" s="224">
        <v>0</v>
      </c>
      <c r="V43" s="224">
        <v>0</v>
      </c>
      <c r="W43" s="224">
        <v>0</v>
      </c>
      <c r="X43" s="224">
        <v>0</v>
      </c>
      <c r="Y43" s="224">
        <v>228.92490118577047</v>
      </c>
      <c r="Z43" s="224">
        <v>0</v>
      </c>
      <c r="AA43" s="224">
        <v>239.76229267215214</v>
      </c>
      <c r="AB43" s="224">
        <v>0</v>
      </c>
      <c r="AC43" s="224">
        <v>25.539999999999718</v>
      </c>
      <c r="AD43" s="221">
        <v>0</v>
      </c>
      <c r="AE43" s="230">
        <v>2326979.7600000002</v>
      </c>
      <c r="AF43" s="128">
        <v>0</v>
      </c>
      <c r="AG43" s="233">
        <v>0</v>
      </c>
      <c r="AH43" s="240">
        <v>88972.190999999919</v>
      </c>
      <c r="AI43" s="237">
        <v>0</v>
      </c>
      <c r="AJ43" s="243">
        <v>157013.63279999982</v>
      </c>
      <c r="AK43" s="251">
        <v>0</v>
      </c>
      <c r="AL43" s="259">
        <v>47146.448224067724</v>
      </c>
      <c r="AM43" s="256">
        <v>69429.951867966156</v>
      </c>
      <c r="AN43" s="243">
        <v>38752.24192932211</v>
      </c>
      <c r="AO43" s="129">
        <v>32612.290640847594</v>
      </c>
      <c r="AP43" s="129">
        <v>0</v>
      </c>
      <c r="AQ43" s="129">
        <v>0</v>
      </c>
      <c r="AR43" s="129">
        <v>0</v>
      </c>
      <c r="AS43" s="129">
        <v>0</v>
      </c>
      <c r="AT43" s="129">
        <v>0</v>
      </c>
      <c r="AU43" s="129">
        <v>0</v>
      </c>
      <c r="AV43" s="129">
        <v>0</v>
      </c>
      <c r="AW43" s="129">
        <v>0</v>
      </c>
      <c r="AX43" s="129">
        <v>148634.39108774683</v>
      </c>
      <c r="AY43" s="129">
        <v>0</v>
      </c>
      <c r="AZ43" s="129">
        <v>308703.11073497595</v>
      </c>
      <c r="BA43" s="129">
        <v>0</v>
      </c>
      <c r="BB43" s="129">
        <v>26981.518463999706</v>
      </c>
      <c r="BC43" s="251">
        <v>0</v>
      </c>
      <c r="BD43" s="252"/>
      <c r="BE43" s="252">
        <v>151599.37</v>
      </c>
      <c r="BF43" s="254"/>
      <c r="BG43" s="259">
        <v>106559.6</v>
      </c>
      <c r="BH43" s="256">
        <v>19522.799999999988</v>
      </c>
      <c r="BI43" s="243"/>
      <c r="BJ43" s="129"/>
      <c r="BK43" s="129"/>
      <c r="BL43" s="251">
        <v>2326979.7600000002</v>
      </c>
      <c r="BM43" s="259">
        <v>918245.77674892591</v>
      </c>
      <c r="BN43" s="259">
        <v>277681.77</v>
      </c>
      <c r="BO43" s="259">
        <v>539647.59992238891</v>
      </c>
      <c r="BP43" s="136">
        <v>3522907.3067489262</v>
      </c>
      <c r="BQ43" s="136">
        <v>3522746.5547489254</v>
      </c>
      <c r="BR43" s="267">
        <v>0</v>
      </c>
      <c r="BS43" s="136">
        <v>3245064.7847489258</v>
      </c>
      <c r="BT43" s="271">
        <v>5490.8033582892149</v>
      </c>
      <c r="BU43" s="271">
        <v>5409.6873461538453</v>
      </c>
      <c r="BV43" s="275">
        <v>1.4994584149681236E-2</v>
      </c>
      <c r="BW43" s="275">
        <v>0</v>
      </c>
      <c r="BX43" s="278">
        <v>0</v>
      </c>
      <c r="BY43" s="288">
        <v>3522907.3067489262</v>
      </c>
      <c r="BZ43" s="256">
        <v>-756.48</v>
      </c>
      <c r="CA43" s="263">
        <v>-6459.63</v>
      </c>
      <c r="CB43" s="296">
        <v>3515691.1967489263</v>
      </c>
      <c r="CC43" s="2"/>
      <c r="CD43" s="521">
        <f>VLOOKUP(B43,'EYSFF (Universal)'!$A$10:$AC$66,29,0)</f>
        <v>173684.66325000001</v>
      </c>
      <c r="CE43" s="523"/>
      <c r="CF43" s="514"/>
      <c r="CG43" s="100"/>
      <c r="CH43" s="565">
        <v>0</v>
      </c>
      <c r="CI43" s="114">
        <v>244621.99999999997</v>
      </c>
      <c r="CK43" s="111">
        <v>289545</v>
      </c>
      <c r="CL43" s="111">
        <v>0</v>
      </c>
      <c r="CM43" s="556">
        <v>10120</v>
      </c>
      <c r="CN43" s="560">
        <v>8754</v>
      </c>
      <c r="CO43" s="2">
        <v>53562.857142857145</v>
      </c>
      <c r="CP43" s="571">
        <v>84122.5</v>
      </c>
      <c r="CQ43" s="547">
        <v>10579</v>
      </c>
      <c r="CR43" s="544"/>
      <c r="CS43" s="114"/>
      <c r="CT43" s="2"/>
    </row>
    <row r="44" spans="1:98" ht="14" x14ac:dyDescent="0.25">
      <c r="A44" s="60">
        <v>3122065</v>
      </c>
      <c r="B44" s="145">
        <v>2065</v>
      </c>
      <c r="C44" s="212" t="s">
        <v>179</v>
      </c>
      <c r="D44" s="217">
        <v>385</v>
      </c>
      <c r="E44" s="224">
        <v>385</v>
      </c>
      <c r="F44" s="224">
        <v>0</v>
      </c>
      <c r="G44" s="224">
        <v>0</v>
      </c>
      <c r="H44" s="224">
        <v>0</v>
      </c>
      <c r="I44" s="224">
        <v>31.999999999999993</v>
      </c>
      <c r="J44" s="221">
        <v>0</v>
      </c>
      <c r="K44" s="214">
        <v>32.999999999999993</v>
      </c>
      <c r="L44" s="224">
        <v>0</v>
      </c>
      <c r="M44" s="224">
        <v>22.999999999999982</v>
      </c>
      <c r="N44" s="224">
        <v>0</v>
      </c>
      <c r="O44" s="224">
        <v>0</v>
      </c>
      <c r="P44" s="224">
        <v>0</v>
      </c>
      <c r="Q44" s="224">
        <v>0</v>
      </c>
      <c r="R44" s="224">
        <v>0</v>
      </c>
      <c r="S44" s="224">
        <v>0</v>
      </c>
      <c r="T44" s="224">
        <v>0</v>
      </c>
      <c r="U44" s="224">
        <v>0</v>
      </c>
      <c r="V44" s="224">
        <v>0</v>
      </c>
      <c r="W44" s="224">
        <v>0</v>
      </c>
      <c r="X44" s="224">
        <v>0</v>
      </c>
      <c r="Y44" s="224">
        <v>42.646153846153936</v>
      </c>
      <c r="Z44" s="224">
        <v>0</v>
      </c>
      <c r="AA44" s="224">
        <v>84.866666666666646</v>
      </c>
      <c r="AB44" s="224">
        <v>0</v>
      </c>
      <c r="AC44" s="224">
        <v>0</v>
      </c>
      <c r="AD44" s="221">
        <v>0</v>
      </c>
      <c r="AE44" s="230">
        <v>1515883.6</v>
      </c>
      <c r="AF44" s="128">
        <v>0</v>
      </c>
      <c r="AG44" s="233">
        <v>0</v>
      </c>
      <c r="AH44" s="240">
        <v>17255.212799999998</v>
      </c>
      <c r="AI44" s="237">
        <v>0</v>
      </c>
      <c r="AJ44" s="243">
        <v>29778.447599999996</v>
      </c>
      <c r="AK44" s="251">
        <v>0</v>
      </c>
      <c r="AL44" s="259">
        <v>5947.986299999995</v>
      </c>
      <c r="AM44" s="256">
        <v>0</v>
      </c>
      <c r="AN44" s="243">
        <v>0</v>
      </c>
      <c r="AO44" s="129">
        <v>0</v>
      </c>
      <c r="AP44" s="129">
        <v>0</v>
      </c>
      <c r="AQ44" s="129">
        <v>0</v>
      </c>
      <c r="AR44" s="129">
        <v>0</v>
      </c>
      <c r="AS44" s="129">
        <v>0</v>
      </c>
      <c r="AT44" s="129">
        <v>0</v>
      </c>
      <c r="AU44" s="129">
        <v>0</v>
      </c>
      <c r="AV44" s="129">
        <v>0</v>
      </c>
      <c r="AW44" s="129">
        <v>0</v>
      </c>
      <c r="AX44" s="129">
        <v>27688.928012307748</v>
      </c>
      <c r="AY44" s="129">
        <v>0</v>
      </c>
      <c r="AZ44" s="129">
        <v>109269.07523999998</v>
      </c>
      <c r="BA44" s="129">
        <v>0</v>
      </c>
      <c r="BB44" s="129">
        <v>0</v>
      </c>
      <c r="BC44" s="251">
        <v>0</v>
      </c>
      <c r="BD44" s="252"/>
      <c r="BE44" s="252">
        <v>151599.37</v>
      </c>
      <c r="BF44" s="254"/>
      <c r="BG44" s="259">
        <v>46523.4</v>
      </c>
      <c r="BH44" s="256">
        <v>-6505.9500000000044</v>
      </c>
      <c r="BI44" s="243"/>
      <c r="BJ44" s="129"/>
      <c r="BK44" s="129"/>
      <c r="BL44" s="251">
        <v>1515883.6</v>
      </c>
      <c r="BM44" s="259">
        <v>189939.64995230772</v>
      </c>
      <c r="BN44" s="259">
        <v>191616.81999999998</v>
      </c>
      <c r="BO44" s="259">
        <v>178970.81227059994</v>
      </c>
      <c r="BP44" s="136">
        <v>1897440.069952308</v>
      </c>
      <c r="BQ44" s="136">
        <v>1897335.349952308</v>
      </c>
      <c r="BR44" s="267">
        <v>0</v>
      </c>
      <c r="BS44" s="136">
        <v>1705718.5299523079</v>
      </c>
      <c r="BT44" s="271">
        <v>4430.4377401358652</v>
      </c>
      <c r="BU44" s="271">
        <v>4395.7360303977275</v>
      </c>
      <c r="BV44" s="275">
        <v>7.8944025524202901E-3</v>
      </c>
      <c r="BW44" s="275">
        <v>0</v>
      </c>
      <c r="BX44" s="278">
        <v>0</v>
      </c>
      <c r="BY44" s="288">
        <v>1897440.069952308</v>
      </c>
      <c r="BZ44" s="256">
        <v>-492.8</v>
      </c>
      <c r="CA44" s="263">
        <v>-4208.05</v>
      </c>
      <c r="CB44" s="296">
        <v>1892739.2199523079</v>
      </c>
      <c r="CC44" s="2"/>
      <c r="CD44" s="521">
        <f>VLOOKUP(B44,'EYSFF (Universal)'!$A$10:$AC$66,29,0)</f>
        <v>107662.36499999999</v>
      </c>
      <c r="CE44" s="523"/>
      <c r="CF44" s="514">
        <v>81190.208109831874</v>
      </c>
      <c r="CG44" s="100"/>
      <c r="CH44" s="565">
        <v>0</v>
      </c>
      <c r="CI44" s="114">
        <v>58950.333333333336</v>
      </c>
      <c r="CK44" s="111">
        <v>45105</v>
      </c>
      <c r="CL44" s="111">
        <v>335</v>
      </c>
      <c r="CM44" s="556">
        <v>2530</v>
      </c>
      <c r="CN44" s="560">
        <v>7900</v>
      </c>
      <c r="CO44" s="2">
        <v>28294.28571428571</v>
      </c>
      <c r="CP44" s="571">
        <v>53838.400000000001</v>
      </c>
      <c r="CQ44" s="547">
        <v>7816</v>
      </c>
      <c r="CR44" s="544"/>
      <c r="CS44" s="114"/>
      <c r="CT44" s="2"/>
    </row>
    <row r="45" spans="1:98" ht="14" x14ac:dyDescent="0.25">
      <c r="A45" s="60">
        <v>3122069</v>
      </c>
      <c r="B45" s="145">
        <v>2069</v>
      </c>
      <c r="C45" s="211" t="s">
        <v>181</v>
      </c>
      <c r="D45" s="217">
        <v>291</v>
      </c>
      <c r="E45" s="224">
        <v>291</v>
      </c>
      <c r="F45" s="224">
        <v>0</v>
      </c>
      <c r="G45" s="224">
        <v>0</v>
      </c>
      <c r="H45" s="224">
        <v>0</v>
      </c>
      <c r="I45" s="224">
        <v>88.999999999999872</v>
      </c>
      <c r="J45" s="221">
        <v>0</v>
      </c>
      <c r="K45" s="214">
        <v>90.000000000000014</v>
      </c>
      <c r="L45" s="224">
        <v>0</v>
      </c>
      <c r="M45" s="224">
        <v>20.999999999999986</v>
      </c>
      <c r="N45" s="224">
        <v>120.99999999999999</v>
      </c>
      <c r="O45" s="224">
        <v>32.000000000000099</v>
      </c>
      <c r="P45" s="224">
        <v>3.0000000000000102</v>
      </c>
      <c r="Q45" s="224">
        <v>0</v>
      </c>
      <c r="R45" s="224">
        <v>0</v>
      </c>
      <c r="S45" s="224">
        <v>0</v>
      </c>
      <c r="T45" s="224">
        <v>0</v>
      </c>
      <c r="U45" s="224">
        <v>0</v>
      </c>
      <c r="V45" s="224">
        <v>0</v>
      </c>
      <c r="W45" s="224">
        <v>0</v>
      </c>
      <c r="X45" s="224">
        <v>0</v>
      </c>
      <c r="Y45" s="224">
        <v>149.119402985075</v>
      </c>
      <c r="Z45" s="224">
        <v>0</v>
      </c>
      <c r="AA45" s="224">
        <v>108.35106382978699</v>
      </c>
      <c r="AB45" s="224">
        <v>0</v>
      </c>
      <c r="AC45" s="224">
        <v>0</v>
      </c>
      <c r="AD45" s="221">
        <v>0</v>
      </c>
      <c r="AE45" s="230">
        <v>1145771.76</v>
      </c>
      <c r="AF45" s="128">
        <v>0</v>
      </c>
      <c r="AG45" s="233">
        <v>0</v>
      </c>
      <c r="AH45" s="240">
        <v>47991.060599999932</v>
      </c>
      <c r="AI45" s="237">
        <v>0</v>
      </c>
      <c r="AJ45" s="243">
        <v>81213.948000000019</v>
      </c>
      <c r="AK45" s="251">
        <v>0</v>
      </c>
      <c r="AL45" s="259">
        <v>5430.7700999999961</v>
      </c>
      <c r="AM45" s="256">
        <v>37949.363099999995</v>
      </c>
      <c r="AN45" s="243">
        <v>15670.550400000056</v>
      </c>
      <c r="AO45" s="129">
        <v>1601.1693000000059</v>
      </c>
      <c r="AP45" s="129">
        <v>0</v>
      </c>
      <c r="AQ45" s="129">
        <v>0</v>
      </c>
      <c r="AR45" s="129">
        <v>0</v>
      </c>
      <c r="AS45" s="129">
        <v>0</v>
      </c>
      <c r="AT45" s="129">
        <v>0</v>
      </c>
      <c r="AU45" s="129">
        <v>0</v>
      </c>
      <c r="AV45" s="129">
        <v>0</v>
      </c>
      <c r="AW45" s="129">
        <v>0</v>
      </c>
      <c r="AX45" s="129">
        <v>96818.963543283637</v>
      </c>
      <c r="AY45" s="129">
        <v>0</v>
      </c>
      <c r="AZ45" s="129">
        <v>139506.13369148946</v>
      </c>
      <c r="BA45" s="129">
        <v>0</v>
      </c>
      <c r="BB45" s="129">
        <v>0</v>
      </c>
      <c r="BC45" s="251">
        <v>0</v>
      </c>
      <c r="BD45" s="252"/>
      <c r="BE45" s="252">
        <v>151599.37</v>
      </c>
      <c r="BF45" s="254"/>
      <c r="BG45" s="259">
        <v>43890</v>
      </c>
      <c r="BH45" s="256">
        <v>6650</v>
      </c>
      <c r="BI45" s="243"/>
      <c r="BJ45" s="129"/>
      <c r="BK45" s="129"/>
      <c r="BL45" s="251">
        <v>1145771.76</v>
      </c>
      <c r="BM45" s="259">
        <v>426181.9587347731</v>
      </c>
      <c r="BN45" s="259">
        <v>202139.37</v>
      </c>
      <c r="BO45" s="259">
        <v>241832.33612500012</v>
      </c>
      <c r="BP45" s="136">
        <v>1774093.088734773</v>
      </c>
      <c r="BQ45" s="136">
        <v>1774013.9367347732</v>
      </c>
      <c r="BR45" s="267">
        <v>0</v>
      </c>
      <c r="BS45" s="136">
        <v>1571874.5667347731</v>
      </c>
      <c r="BT45" s="271">
        <v>5401.6308135215568</v>
      </c>
      <c r="BU45" s="271">
        <v>5367.610941528239</v>
      </c>
      <c r="BV45" s="275">
        <v>6.337991401372289E-3</v>
      </c>
      <c r="BW45" s="275">
        <v>0</v>
      </c>
      <c r="BX45" s="278">
        <v>0</v>
      </c>
      <c r="BY45" s="288">
        <v>1774093.088734773</v>
      </c>
      <c r="BZ45" s="256">
        <v>-372.48</v>
      </c>
      <c r="CA45" s="263">
        <v>-3180.63</v>
      </c>
      <c r="CB45" s="296">
        <v>1770539.9787347731</v>
      </c>
      <c r="CC45" s="2"/>
      <c r="CD45" s="521">
        <f>VLOOKUP(B45,'EYSFF (Universal)'!$A$10:$AC$66,29,0)</f>
        <v>203508.261</v>
      </c>
      <c r="CE45" s="523"/>
      <c r="CF45" s="514"/>
      <c r="CG45" s="100"/>
      <c r="CH45" s="565">
        <v>0</v>
      </c>
      <c r="CI45" s="114">
        <v>94435</v>
      </c>
      <c r="CK45" s="111">
        <v>125130</v>
      </c>
      <c r="CL45" s="111">
        <v>670</v>
      </c>
      <c r="CM45" s="556">
        <v>7590</v>
      </c>
      <c r="CN45" s="560">
        <v>7500</v>
      </c>
      <c r="CO45" s="2">
        <v>27987.428571428572</v>
      </c>
      <c r="CP45" s="571">
        <v>92294.399999999994</v>
      </c>
      <c r="CQ45" s="547">
        <v>7942</v>
      </c>
      <c r="CR45" s="544"/>
      <c r="CS45" s="114"/>
      <c r="CT45" s="2"/>
    </row>
    <row r="46" spans="1:98" ht="14" x14ac:dyDescent="0.25">
      <c r="A46" s="60">
        <v>3122074</v>
      </c>
      <c r="B46" s="145">
        <v>2074</v>
      </c>
      <c r="C46" s="211" t="s">
        <v>183</v>
      </c>
      <c r="D46" s="217">
        <v>209</v>
      </c>
      <c r="E46" s="224">
        <v>209</v>
      </c>
      <c r="F46" s="224">
        <v>0</v>
      </c>
      <c r="G46" s="224">
        <v>0</v>
      </c>
      <c r="H46" s="224">
        <v>0</v>
      </c>
      <c r="I46" s="224">
        <v>26.999999999999915</v>
      </c>
      <c r="J46" s="221">
        <v>0</v>
      </c>
      <c r="K46" s="214">
        <v>26.999999999999915</v>
      </c>
      <c r="L46" s="224">
        <v>0</v>
      </c>
      <c r="M46" s="224">
        <v>48.99999999999995</v>
      </c>
      <c r="N46" s="224">
        <v>2.9999999999999898</v>
      </c>
      <c r="O46" s="224">
        <v>0.99999999999999978</v>
      </c>
      <c r="P46" s="224">
        <v>0</v>
      </c>
      <c r="Q46" s="224">
        <v>0</v>
      </c>
      <c r="R46" s="224">
        <v>0</v>
      </c>
      <c r="S46" s="224">
        <v>0</v>
      </c>
      <c r="T46" s="224">
        <v>0</v>
      </c>
      <c r="U46" s="224">
        <v>0</v>
      </c>
      <c r="V46" s="224">
        <v>0</v>
      </c>
      <c r="W46" s="224">
        <v>0</v>
      </c>
      <c r="X46" s="224">
        <v>0</v>
      </c>
      <c r="Y46" s="224">
        <v>30.061643835616401</v>
      </c>
      <c r="Z46" s="224">
        <v>0</v>
      </c>
      <c r="AA46" s="224">
        <v>61.816901408450697</v>
      </c>
      <c r="AB46" s="224">
        <v>0</v>
      </c>
      <c r="AC46" s="224">
        <v>0</v>
      </c>
      <c r="AD46" s="221">
        <v>0</v>
      </c>
      <c r="AE46" s="230">
        <v>822908.24</v>
      </c>
      <c r="AF46" s="128">
        <v>0</v>
      </c>
      <c r="AG46" s="233">
        <v>0</v>
      </c>
      <c r="AH46" s="240">
        <v>14559.085799999955</v>
      </c>
      <c r="AI46" s="237">
        <v>0</v>
      </c>
      <c r="AJ46" s="243">
        <v>24364.184399999922</v>
      </c>
      <c r="AK46" s="251">
        <v>0</v>
      </c>
      <c r="AL46" s="259">
        <v>12671.796899999987</v>
      </c>
      <c r="AM46" s="256">
        <v>940.89329999999791</v>
      </c>
      <c r="AN46" s="243">
        <v>489.70469999999989</v>
      </c>
      <c r="AO46" s="129">
        <v>0</v>
      </c>
      <c r="AP46" s="129">
        <v>0</v>
      </c>
      <c r="AQ46" s="129">
        <v>0</v>
      </c>
      <c r="AR46" s="129">
        <v>0</v>
      </c>
      <c r="AS46" s="129">
        <v>0</v>
      </c>
      <c r="AT46" s="129">
        <v>0</v>
      </c>
      <c r="AU46" s="129">
        <v>0</v>
      </c>
      <c r="AV46" s="129">
        <v>0</v>
      </c>
      <c r="AW46" s="129">
        <v>0</v>
      </c>
      <c r="AX46" s="129">
        <v>19518.16557945203</v>
      </c>
      <c r="AY46" s="129">
        <v>0</v>
      </c>
      <c r="AZ46" s="129">
        <v>79591.621969014057</v>
      </c>
      <c r="BA46" s="129">
        <v>0</v>
      </c>
      <c r="BB46" s="129">
        <v>0</v>
      </c>
      <c r="BC46" s="251">
        <v>0</v>
      </c>
      <c r="BD46" s="252"/>
      <c r="BE46" s="252">
        <v>151599.37</v>
      </c>
      <c r="BF46" s="254"/>
      <c r="BG46" s="259">
        <v>31388</v>
      </c>
      <c r="BH46" s="256">
        <v>-9443</v>
      </c>
      <c r="BI46" s="243"/>
      <c r="BJ46" s="129"/>
      <c r="BK46" s="129"/>
      <c r="BL46" s="251">
        <v>822908.24</v>
      </c>
      <c r="BM46" s="259">
        <v>152135.45264846593</v>
      </c>
      <c r="BN46" s="259">
        <v>173544.37</v>
      </c>
      <c r="BO46" s="259">
        <v>127359.95866587316</v>
      </c>
      <c r="BP46" s="136">
        <v>1148588.0626484659</v>
      </c>
      <c r="BQ46" s="136">
        <v>1148531.2146484661</v>
      </c>
      <c r="BR46" s="267">
        <v>0</v>
      </c>
      <c r="BS46" s="136">
        <v>974986.8446484661</v>
      </c>
      <c r="BT46" s="271">
        <v>4665.0088260692155</v>
      </c>
      <c r="BU46" s="271">
        <v>4589.9087900000004</v>
      </c>
      <c r="BV46" s="275">
        <v>1.6361988768237613E-2</v>
      </c>
      <c r="BW46" s="275">
        <v>0</v>
      </c>
      <c r="BX46" s="278">
        <v>0</v>
      </c>
      <c r="BY46" s="288">
        <v>1148588.0626484659</v>
      </c>
      <c r="BZ46" s="256">
        <v>-267.52</v>
      </c>
      <c r="CA46" s="263">
        <v>-2284.37</v>
      </c>
      <c r="CB46" s="296">
        <v>1146036.1726484657</v>
      </c>
      <c r="CC46" s="2"/>
      <c r="CD46" s="521">
        <f>VLOOKUP(B46,'EYSFF (Universal)'!$A$10:$AC$66,29,0)</f>
        <v>162608.16893478262</v>
      </c>
      <c r="CE46" s="523">
        <f>VLOOKUP(B46,'EYSFF (Additional)'!$A$11:$AB$57,28,0)</f>
        <v>101094.59542857143</v>
      </c>
      <c r="CF46" s="514"/>
      <c r="CG46" s="100"/>
      <c r="CH46" s="565">
        <v>0</v>
      </c>
      <c r="CI46" s="114">
        <v>67468</v>
      </c>
      <c r="CK46" s="111">
        <v>40740</v>
      </c>
      <c r="CL46" s="111">
        <v>1005</v>
      </c>
      <c r="CM46" s="556">
        <v>7590</v>
      </c>
      <c r="CN46" s="560">
        <v>7350</v>
      </c>
      <c r="CO46" s="2">
        <v>20442.857142857145</v>
      </c>
      <c r="CP46" s="571">
        <v>99264.55</v>
      </c>
      <c r="CQ46" s="547">
        <v>7411</v>
      </c>
      <c r="CR46" s="544"/>
      <c r="CS46" s="114"/>
      <c r="CT46" s="2"/>
    </row>
    <row r="47" spans="1:98" ht="14" x14ac:dyDescent="0.25">
      <c r="A47" s="60">
        <v>3122076</v>
      </c>
      <c r="B47" s="145">
        <v>2076</v>
      </c>
      <c r="C47" s="211" t="s">
        <v>75</v>
      </c>
      <c r="D47" s="217">
        <v>392</v>
      </c>
      <c r="E47" s="224">
        <v>392</v>
      </c>
      <c r="F47" s="224">
        <v>0</v>
      </c>
      <c r="G47" s="224">
        <v>0</v>
      </c>
      <c r="H47" s="224">
        <v>0</v>
      </c>
      <c r="I47" s="224">
        <v>38.000000000000007</v>
      </c>
      <c r="J47" s="221">
        <v>0</v>
      </c>
      <c r="K47" s="214">
        <v>38.999999999999986</v>
      </c>
      <c r="L47" s="224">
        <v>0</v>
      </c>
      <c r="M47" s="224">
        <v>51.130434782608837</v>
      </c>
      <c r="N47" s="224">
        <v>1.0025575447570341</v>
      </c>
      <c r="O47" s="224">
        <v>1.0025575447570341</v>
      </c>
      <c r="P47" s="224">
        <v>0</v>
      </c>
      <c r="Q47" s="224">
        <v>0</v>
      </c>
      <c r="R47" s="224">
        <v>0</v>
      </c>
      <c r="S47" s="224">
        <v>0</v>
      </c>
      <c r="T47" s="224">
        <v>0</v>
      </c>
      <c r="U47" s="224">
        <v>0</v>
      </c>
      <c r="V47" s="224">
        <v>0</v>
      </c>
      <c r="W47" s="224">
        <v>0</v>
      </c>
      <c r="X47" s="224">
        <v>0</v>
      </c>
      <c r="Y47" s="224">
        <v>72.422287390029354</v>
      </c>
      <c r="Z47" s="224">
        <v>0</v>
      </c>
      <c r="AA47" s="224">
        <v>92.928690344062119</v>
      </c>
      <c r="AB47" s="224">
        <v>0</v>
      </c>
      <c r="AC47" s="224">
        <v>7.4799999999999915</v>
      </c>
      <c r="AD47" s="221">
        <v>0</v>
      </c>
      <c r="AE47" s="230">
        <v>1543445.12</v>
      </c>
      <c r="AF47" s="128">
        <v>0</v>
      </c>
      <c r="AG47" s="233">
        <v>0</v>
      </c>
      <c r="AH47" s="240">
        <v>20490.565200000005</v>
      </c>
      <c r="AI47" s="237">
        <v>0</v>
      </c>
      <c r="AJ47" s="243">
        <v>35192.710799999986</v>
      </c>
      <c r="AK47" s="251">
        <v>0</v>
      </c>
      <c r="AL47" s="259">
        <v>13222.744591304383</v>
      </c>
      <c r="AM47" s="256">
        <v>314.43322557544781</v>
      </c>
      <c r="AN47" s="243">
        <v>490.95714168797997</v>
      </c>
      <c r="AO47" s="129">
        <v>0</v>
      </c>
      <c r="AP47" s="129">
        <v>0</v>
      </c>
      <c r="AQ47" s="129">
        <v>0</v>
      </c>
      <c r="AR47" s="129">
        <v>0</v>
      </c>
      <c r="AS47" s="129">
        <v>0</v>
      </c>
      <c r="AT47" s="129">
        <v>0</v>
      </c>
      <c r="AU47" s="129">
        <v>0</v>
      </c>
      <c r="AV47" s="129">
        <v>0</v>
      </c>
      <c r="AW47" s="129">
        <v>0</v>
      </c>
      <c r="AX47" s="129">
        <v>47021.7199249267</v>
      </c>
      <c r="AY47" s="129">
        <v>0</v>
      </c>
      <c r="AZ47" s="129">
        <v>119649.23869395112</v>
      </c>
      <c r="BA47" s="129">
        <v>0</v>
      </c>
      <c r="BB47" s="129">
        <v>7902.1831679999923</v>
      </c>
      <c r="BC47" s="251">
        <v>0</v>
      </c>
      <c r="BD47" s="252"/>
      <c r="BE47" s="252">
        <v>151599.37</v>
      </c>
      <c r="BF47" s="254"/>
      <c r="BG47" s="259">
        <v>24488.075000000001</v>
      </c>
      <c r="BH47" s="256">
        <v>1623.5</v>
      </c>
      <c r="BI47" s="243"/>
      <c r="BJ47" s="129"/>
      <c r="BK47" s="129"/>
      <c r="BL47" s="251">
        <v>1543445.12</v>
      </c>
      <c r="BM47" s="259">
        <v>244284.5527454456</v>
      </c>
      <c r="BN47" s="259">
        <v>177710.94500000001</v>
      </c>
      <c r="BO47" s="259">
        <v>197215.25894390955</v>
      </c>
      <c r="BP47" s="136">
        <v>1965440.6177454458</v>
      </c>
      <c r="BQ47" s="136">
        <v>1965333.993745446</v>
      </c>
      <c r="BR47" s="267">
        <v>0</v>
      </c>
      <c r="BS47" s="136">
        <v>1787623.0487454457</v>
      </c>
      <c r="BT47" s="271">
        <v>4560.2628794526672</v>
      </c>
      <c r="BU47" s="271">
        <v>4573.9533913043479</v>
      </c>
      <c r="BV47" s="275">
        <v>-2.9931463398179788E-3</v>
      </c>
      <c r="BW47" s="275">
        <v>7.9931463398179789E-3</v>
      </c>
      <c r="BX47" s="278">
        <v>14225.005292815003</v>
      </c>
      <c r="BY47" s="288">
        <v>1979665.6230382607</v>
      </c>
      <c r="BZ47" s="256">
        <v>-501.76</v>
      </c>
      <c r="CA47" s="263">
        <v>-4284.5599999999995</v>
      </c>
      <c r="CB47" s="296">
        <v>1974879.3030382607</v>
      </c>
      <c r="CC47" s="2"/>
      <c r="CD47" s="521">
        <f>VLOOKUP(B47,'EYSFF (Universal)'!$A$10:$AC$66,29,0)</f>
        <v>99183.146999999997</v>
      </c>
      <c r="CE47" s="523">
        <f>VLOOKUP(B47,'EYSFF (Additional)'!$A$11:$AB$57,28,0)</f>
        <v>32946.539150000004</v>
      </c>
      <c r="CF47" s="514"/>
      <c r="CG47" s="100"/>
      <c r="CH47" s="565">
        <v>0</v>
      </c>
      <c r="CI47" s="114">
        <v>76288.666666666672</v>
      </c>
      <c r="CK47" s="111">
        <v>62565</v>
      </c>
      <c r="CL47" s="111">
        <v>6365</v>
      </c>
      <c r="CM47" s="556">
        <v>5060</v>
      </c>
      <c r="CN47" s="560">
        <v>8062</v>
      </c>
      <c r="CO47" s="2">
        <v>31649.142857142859</v>
      </c>
      <c r="CP47" s="571">
        <v>69461.149999999994</v>
      </c>
      <c r="CQ47" s="547">
        <v>8515.75</v>
      </c>
      <c r="CR47" s="544"/>
      <c r="CS47" s="114"/>
      <c r="CT47" s="2"/>
    </row>
    <row r="48" spans="1:98" ht="14" x14ac:dyDescent="0.25">
      <c r="A48" s="60">
        <v>3122078</v>
      </c>
      <c r="B48" s="145">
        <v>2078</v>
      </c>
      <c r="C48" s="211" t="s">
        <v>63</v>
      </c>
      <c r="D48" s="217">
        <v>808</v>
      </c>
      <c r="E48" s="224">
        <v>808</v>
      </c>
      <c r="F48" s="224">
        <v>0</v>
      </c>
      <c r="G48" s="224">
        <v>0</v>
      </c>
      <c r="H48" s="224">
        <v>0</v>
      </c>
      <c r="I48" s="224">
        <v>202.99999999999983</v>
      </c>
      <c r="J48" s="221">
        <v>0</v>
      </c>
      <c r="K48" s="214">
        <v>207.99999999999966</v>
      </c>
      <c r="L48" s="224">
        <v>0</v>
      </c>
      <c r="M48" s="224">
        <v>269.99999999999989</v>
      </c>
      <c r="N48" s="224">
        <v>346.99999999999966</v>
      </c>
      <c r="O48" s="224">
        <v>2.9999999999999978</v>
      </c>
      <c r="P48" s="224">
        <v>0</v>
      </c>
      <c r="Q48" s="224">
        <v>0</v>
      </c>
      <c r="R48" s="224">
        <v>0</v>
      </c>
      <c r="S48" s="224">
        <v>0</v>
      </c>
      <c r="T48" s="224">
        <v>0</v>
      </c>
      <c r="U48" s="224">
        <v>0</v>
      </c>
      <c r="V48" s="224">
        <v>0</v>
      </c>
      <c r="W48" s="224">
        <v>0</v>
      </c>
      <c r="X48" s="224">
        <v>0</v>
      </c>
      <c r="Y48" s="224">
        <v>360.69309838472839</v>
      </c>
      <c r="Z48" s="224">
        <v>0</v>
      </c>
      <c r="AA48" s="224">
        <v>212.63540651370249</v>
      </c>
      <c r="AB48" s="224">
        <v>0</v>
      </c>
      <c r="AC48" s="224">
        <v>31.61913258983888</v>
      </c>
      <c r="AD48" s="221">
        <v>0</v>
      </c>
      <c r="AE48" s="230">
        <v>3181386.88</v>
      </c>
      <c r="AF48" s="128">
        <v>0</v>
      </c>
      <c r="AG48" s="233">
        <v>0</v>
      </c>
      <c r="AH48" s="240">
        <v>109462.75619999992</v>
      </c>
      <c r="AI48" s="237">
        <v>0</v>
      </c>
      <c r="AJ48" s="243">
        <v>187694.4575999997</v>
      </c>
      <c r="AK48" s="251">
        <v>0</v>
      </c>
      <c r="AL48" s="259">
        <v>69824.186999999962</v>
      </c>
      <c r="AM48" s="256">
        <v>108829.9916999999</v>
      </c>
      <c r="AN48" s="243">
        <v>1469.1140999999989</v>
      </c>
      <c r="AO48" s="129">
        <v>0</v>
      </c>
      <c r="AP48" s="129">
        <v>0</v>
      </c>
      <c r="AQ48" s="129">
        <v>0</v>
      </c>
      <c r="AR48" s="129">
        <v>0</v>
      </c>
      <c r="AS48" s="129">
        <v>0</v>
      </c>
      <c r="AT48" s="129">
        <v>0</v>
      </c>
      <c r="AU48" s="129">
        <v>0</v>
      </c>
      <c r="AV48" s="129">
        <v>0</v>
      </c>
      <c r="AW48" s="129">
        <v>0</v>
      </c>
      <c r="AX48" s="129">
        <v>234187.71295859033</v>
      </c>
      <c r="AY48" s="129">
        <v>0</v>
      </c>
      <c r="AZ48" s="129">
        <v>273776.20855892077</v>
      </c>
      <c r="BA48" s="129">
        <v>0</v>
      </c>
      <c r="BB48" s="129">
        <v>33403.767023821536</v>
      </c>
      <c r="BC48" s="251">
        <v>0</v>
      </c>
      <c r="BD48" s="252"/>
      <c r="BE48" s="252">
        <v>151599.37</v>
      </c>
      <c r="BF48" s="254"/>
      <c r="BG48" s="259">
        <v>13874</v>
      </c>
      <c r="BH48" s="256">
        <v>0</v>
      </c>
      <c r="BI48" s="243"/>
      <c r="BJ48" s="129"/>
      <c r="BK48" s="129"/>
      <c r="BL48" s="251">
        <v>3181386.88</v>
      </c>
      <c r="BM48" s="259">
        <v>1018648.1951413322</v>
      </c>
      <c r="BN48" s="259">
        <v>165473.37</v>
      </c>
      <c r="BO48" s="259">
        <v>549019.40615967324</v>
      </c>
      <c r="BP48" s="136">
        <v>4365508.4451413322</v>
      </c>
      <c r="BQ48" s="136">
        <v>4365288.6691413317</v>
      </c>
      <c r="BR48" s="267">
        <v>0</v>
      </c>
      <c r="BS48" s="136">
        <v>4199815.2991413325</v>
      </c>
      <c r="BT48" s="271">
        <v>5197.7912118085796</v>
      </c>
      <c r="BU48" s="271">
        <v>5146.7564991128011</v>
      </c>
      <c r="BV48" s="275">
        <v>9.9158980426946475E-3</v>
      </c>
      <c r="BW48" s="275">
        <v>0</v>
      </c>
      <c r="BX48" s="278">
        <v>0</v>
      </c>
      <c r="BY48" s="288">
        <v>4365508.4451413322</v>
      </c>
      <c r="BZ48" s="256">
        <v>0</v>
      </c>
      <c r="CA48" s="263">
        <v>0</v>
      </c>
      <c r="CB48" s="296">
        <v>4365508.4451413322</v>
      </c>
      <c r="CC48" s="2"/>
      <c r="CD48" s="521">
        <f>VLOOKUP(B48,'EYSFF (Universal)'!$A$10:$AC$66,29,0)</f>
        <v>295310.32874999999</v>
      </c>
      <c r="CE48" s="523">
        <f>VLOOKUP(B48,'EYSFF (Additional)'!$A$11:$AB$57,28,0)</f>
        <v>36446.60325</v>
      </c>
      <c r="CF48" s="514"/>
      <c r="CG48" s="100"/>
      <c r="CH48" s="565">
        <v>0</v>
      </c>
      <c r="CI48" s="114">
        <v>229573</v>
      </c>
      <c r="CK48" s="111"/>
      <c r="CL48" s="111"/>
      <c r="CM48" s="556"/>
      <c r="CN48" s="560"/>
      <c r="CO48" s="2">
        <v>0</v>
      </c>
      <c r="CP48" s="571"/>
      <c r="CQ48" s="547"/>
      <c r="CR48" s="544"/>
      <c r="CS48" s="114"/>
      <c r="CT48" s="2"/>
    </row>
    <row r="49" spans="1:98" ht="14" x14ac:dyDescent="0.25">
      <c r="A49" s="60">
        <v>3122080</v>
      </c>
      <c r="B49" s="145">
        <v>2080</v>
      </c>
      <c r="C49" s="211" t="s">
        <v>150</v>
      </c>
      <c r="D49" s="217">
        <v>242</v>
      </c>
      <c r="E49" s="224">
        <v>242</v>
      </c>
      <c r="F49" s="224">
        <v>0</v>
      </c>
      <c r="G49" s="224">
        <v>0</v>
      </c>
      <c r="H49" s="224">
        <v>0</v>
      </c>
      <c r="I49" s="224">
        <v>57.000000000000092</v>
      </c>
      <c r="J49" s="221">
        <v>0</v>
      </c>
      <c r="K49" s="214">
        <v>60.000000000000085</v>
      </c>
      <c r="L49" s="224">
        <v>0</v>
      </c>
      <c r="M49" s="224">
        <v>19.000000000000007</v>
      </c>
      <c r="N49" s="224">
        <v>5.0000000000000027</v>
      </c>
      <c r="O49" s="224">
        <v>1.0000000000000007</v>
      </c>
      <c r="P49" s="224">
        <v>1.0000000000000007</v>
      </c>
      <c r="Q49" s="224">
        <v>1.0000000000000007</v>
      </c>
      <c r="R49" s="224">
        <v>0</v>
      </c>
      <c r="S49" s="224">
        <v>0</v>
      </c>
      <c r="T49" s="224">
        <v>0</v>
      </c>
      <c r="U49" s="224">
        <v>0</v>
      </c>
      <c r="V49" s="224">
        <v>0</v>
      </c>
      <c r="W49" s="224">
        <v>0</v>
      </c>
      <c r="X49" s="224">
        <v>0</v>
      </c>
      <c r="Y49" s="224">
        <v>57.990783410138256</v>
      </c>
      <c r="Z49" s="224">
        <v>0</v>
      </c>
      <c r="AA49" s="224">
        <v>70.566627218934926</v>
      </c>
      <c r="AB49" s="224">
        <v>0</v>
      </c>
      <c r="AC49" s="224">
        <v>0</v>
      </c>
      <c r="AD49" s="221">
        <v>0</v>
      </c>
      <c r="AE49" s="230">
        <v>952841.12</v>
      </c>
      <c r="AF49" s="128">
        <v>0</v>
      </c>
      <c r="AG49" s="233">
        <v>0</v>
      </c>
      <c r="AH49" s="240">
        <v>30735.84780000005</v>
      </c>
      <c r="AI49" s="237">
        <v>0</v>
      </c>
      <c r="AJ49" s="243">
        <v>54142.632000000078</v>
      </c>
      <c r="AK49" s="251">
        <v>0</v>
      </c>
      <c r="AL49" s="259">
        <v>4913.5539000000017</v>
      </c>
      <c r="AM49" s="256">
        <v>1568.1555000000008</v>
      </c>
      <c r="AN49" s="243">
        <v>489.70470000000034</v>
      </c>
      <c r="AO49" s="129">
        <v>533.72310000000039</v>
      </c>
      <c r="AP49" s="129">
        <v>566.73690000000033</v>
      </c>
      <c r="AQ49" s="129">
        <v>0</v>
      </c>
      <c r="AR49" s="129">
        <v>0</v>
      </c>
      <c r="AS49" s="129">
        <v>0</v>
      </c>
      <c r="AT49" s="129">
        <v>0</v>
      </c>
      <c r="AU49" s="129">
        <v>0</v>
      </c>
      <c r="AV49" s="129">
        <v>0</v>
      </c>
      <c r="AW49" s="129">
        <v>0</v>
      </c>
      <c r="AX49" s="129">
        <v>37651.75713179724</v>
      </c>
      <c r="AY49" s="129">
        <v>0</v>
      </c>
      <c r="AZ49" s="129">
        <v>90857.22818953848</v>
      </c>
      <c r="BA49" s="129">
        <v>0</v>
      </c>
      <c r="BB49" s="129">
        <v>0</v>
      </c>
      <c r="BC49" s="251">
        <v>0</v>
      </c>
      <c r="BD49" s="252"/>
      <c r="BE49" s="252">
        <v>151599.37</v>
      </c>
      <c r="BF49" s="254"/>
      <c r="BG49" s="259">
        <v>44422</v>
      </c>
      <c r="BH49" s="256">
        <v>0</v>
      </c>
      <c r="BI49" s="243"/>
      <c r="BJ49" s="129"/>
      <c r="BK49" s="129"/>
      <c r="BL49" s="251">
        <v>952841.12</v>
      </c>
      <c r="BM49" s="259">
        <v>221459.33922133589</v>
      </c>
      <c r="BN49" s="259">
        <v>196021.37</v>
      </c>
      <c r="BO49" s="259">
        <v>153313.7792531662</v>
      </c>
      <c r="BP49" s="136">
        <v>1370321.8292213357</v>
      </c>
      <c r="BQ49" s="136">
        <v>1370256.0052213361</v>
      </c>
      <c r="BR49" s="267">
        <v>0</v>
      </c>
      <c r="BS49" s="136">
        <v>1174234.635221336</v>
      </c>
      <c r="BT49" s="271">
        <v>4852.2092364518021</v>
      </c>
      <c r="BU49" s="271">
        <v>4851.0865191729317</v>
      </c>
      <c r="BV49" s="275">
        <v>2.3143625132906966E-4</v>
      </c>
      <c r="BW49" s="275">
        <v>4.7685637486709308E-3</v>
      </c>
      <c r="BX49" s="278">
        <v>5532.2931067130739</v>
      </c>
      <c r="BY49" s="288">
        <v>1375854.1223280488</v>
      </c>
      <c r="BZ49" s="256">
        <v>-309.76</v>
      </c>
      <c r="CA49" s="263">
        <v>-2645.06</v>
      </c>
      <c r="CB49" s="296">
        <v>1372899.3023280487</v>
      </c>
      <c r="CC49" s="2"/>
      <c r="CD49" s="521">
        <f>VLOOKUP(B49,'EYSFF (Universal)'!$A$10:$AC$66,29,0)</f>
        <v>68860.579800000007</v>
      </c>
      <c r="CE49" s="523">
        <f>VLOOKUP(B49,'EYSFF (Additional)'!$A$11:$AB$57,28,0)</f>
        <v>25152.988499999999</v>
      </c>
      <c r="CF49" s="519"/>
      <c r="CG49" s="100"/>
      <c r="CH49" s="565">
        <v>112000</v>
      </c>
      <c r="CI49" s="114">
        <v>245329</v>
      </c>
      <c r="CK49" s="111">
        <v>96030</v>
      </c>
      <c r="CL49" s="111">
        <v>12395</v>
      </c>
      <c r="CM49" s="556">
        <v>5060</v>
      </c>
      <c r="CN49" s="560">
        <v>7642</v>
      </c>
      <c r="CO49" s="2">
        <v>24377.142857142855</v>
      </c>
      <c r="CP49" s="571">
        <v>37013.9</v>
      </c>
      <c r="CQ49" s="547">
        <v>7709.8</v>
      </c>
      <c r="CR49" s="544"/>
      <c r="CS49" s="114"/>
      <c r="CT49" s="2"/>
    </row>
    <row r="50" spans="1:98" ht="14" x14ac:dyDescent="0.25">
      <c r="A50" s="60">
        <v>3122081</v>
      </c>
      <c r="B50" s="145">
        <v>2081</v>
      </c>
      <c r="C50" s="211" t="s">
        <v>110</v>
      </c>
      <c r="D50" s="217">
        <v>628</v>
      </c>
      <c r="E50" s="224">
        <v>628</v>
      </c>
      <c r="F50" s="224">
        <v>0</v>
      </c>
      <c r="G50" s="224">
        <v>0</v>
      </c>
      <c r="H50" s="224">
        <v>0</v>
      </c>
      <c r="I50" s="224">
        <v>134.00000000000003</v>
      </c>
      <c r="J50" s="221">
        <v>0</v>
      </c>
      <c r="K50" s="214">
        <v>134.99999999999997</v>
      </c>
      <c r="L50" s="224">
        <v>0</v>
      </c>
      <c r="M50" s="224">
        <v>143.45686900958449</v>
      </c>
      <c r="N50" s="224">
        <v>111.35463258785913</v>
      </c>
      <c r="O50" s="224">
        <v>4.0127795527156573</v>
      </c>
      <c r="P50" s="224">
        <v>1.0031948881789143</v>
      </c>
      <c r="Q50" s="224">
        <v>3.0095846645367432</v>
      </c>
      <c r="R50" s="224">
        <v>0</v>
      </c>
      <c r="S50" s="224">
        <v>0</v>
      </c>
      <c r="T50" s="224">
        <v>0</v>
      </c>
      <c r="U50" s="224">
        <v>0</v>
      </c>
      <c r="V50" s="224">
        <v>0</v>
      </c>
      <c r="W50" s="224">
        <v>0</v>
      </c>
      <c r="X50" s="224">
        <v>0</v>
      </c>
      <c r="Y50" s="224">
        <v>194.93680297397802</v>
      </c>
      <c r="Z50" s="224">
        <v>0</v>
      </c>
      <c r="AA50" s="224">
        <v>199.13522884882107</v>
      </c>
      <c r="AB50" s="224">
        <v>0</v>
      </c>
      <c r="AC50" s="224">
        <v>0</v>
      </c>
      <c r="AD50" s="221">
        <v>0</v>
      </c>
      <c r="AE50" s="230">
        <v>2472662.08</v>
      </c>
      <c r="AF50" s="128">
        <v>0</v>
      </c>
      <c r="AG50" s="233">
        <v>0</v>
      </c>
      <c r="AH50" s="240">
        <v>72256.203600000023</v>
      </c>
      <c r="AI50" s="237">
        <v>0</v>
      </c>
      <c r="AJ50" s="243">
        <v>121820.92199999998</v>
      </c>
      <c r="AK50" s="251">
        <v>0</v>
      </c>
      <c r="AL50" s="259">
        <v>37099.108326517526</v>
      </c>
      <c r="AM50" s="256">
        <v>34924.275908626107</v>
      </c>
      <c r="AN50" s="243">
        <v>1965.0770070287551</v>
      </c>
      <c r="AO50" s="129">
        <v>535.4282856230036</v>
      </c>
      <c r="AP50" s="129">
        <v>1705.6426830670937</v>
      </c>
      <c r="AQ50" s="129">
        <v>0</v>
      </c>
      <c r="AR50" s="129">
        <v>0</v>
      </c>
      <c r="AS50" s="129">
        <v>0</v>
      </c>
      <c r="AT50" s="129">
        <v>0</v>
      </c>
      <c r="AU50" s="129">
        <v>0</v>
      </c>
      <c r="AV50" s="129">
        <v>0</v>
      </c>
      <c r="AW50" s="129">
        <v>0</v>
      </c>
      <c r="AX50" s="129">
        <v>126566.89097843887</v>
      </c>
      <c r="AY50" s="129">
        <v>0</v>
      </c>
      <c r="AZ50" s="129">
        <v>256394.21410859915</v>
      </c>
      <c r="BA50" s="129">
        <v>0</v>
      </c>
      <c r="BB50" s="129">
        <v>0</v>
      </c>
      <c r="BC50" s="251">
        <v>0</v>
      </c>
      <c r="BD50" s="252"/>
      <c r="BE50" s="252">
        <v>151599.37</v>
      </c>
      <c r="BF50" s="254"/>
      <c r="BG50" s="259">
        <v>14864</v>
      </c>
      <c r="BH50" s="256">
        <v>0</v>
      </c>
      <c r="BI50" s="243"/>
      <c r="BJ50" s="129"/>
      <c r="BK50" s="129"/>
      <c r="BL50" s="251">
        <v>2472662.08</v>
      </c>
      <c r="BM50" s="259">
        <v>653267.76289790042</v>
      </c>
      <c r="BN50" s="259">
        <v>166463.37</v>
      </c>
      <c r="BO50" s="259">
        <v>424758.27722697123</v>
      </c>
      <c r="BP50" s="136">
        <v>3292393.2128979005</v>
      </c>
      <c r="BQ50" s="136">
        <v>3292222.3968979004</v>
      </c>
      <c r="BR50" s="267">
        <v>0</v>
      </c>
      <c r="BS50" s="136">
        <v>3125759.0268979003</v>
      </c>
      <c r="BT50" s="271">
        <v>4977.3232912386948</v>
      </c>
      <c r="BU50" s="271">
        <v>4997.1958505529219</v>
      </c>
      <c r="BV50" s="275">
        <v>-3.9767421386993108E-3</v>
      </c>
      <c r="BW50" s="275">
        <v>8.9767421386993118E-3</v>
      </c>
      <c r="BX50" s="278">
        <v>28000.346220070864</v>
      </c>
      <c r="BY50" s="288">
        <v>3320393.5591179715</v>
      </c>
      <c r="BZ50" s="256">
        <v>0</v>
      </c>
      <c r="CA50" s="263">
        <v>0</v>
      </c>
      <c r="CB50" s="296">
        <v>3320393.5591179715</v>
      </c>
      <c r="CC50" s="2"/>
      <c r="CD50" s="521">
        <f>VLOOKUP(B50,'EYSFF (Universal)'!$A$10:$AC$66,29,0)</f>
        <v>222800.68206195653</v>
      </c>
      <c r="CE50" s="523">
        <f>VLOOKUP(B50,'EYSFF (Additional)'!$A$11:$AB$57,28,0)</f>
        <v>77826.130650000006</v>
      </c>
      <c r="CF50" s="514"/>
      <c r="CG50" s="100"/>
      <c r="CH50" s="565">
        <v>0</v>
      </c>
      <c r="CI50" s="114">
        <v>172137.66666666666</v>
      </c>
      <c r="CK50" s="111"/>
      <c r="CL50" s="111"/>
      <c r="CM50" s="556"/>
      <c r="CN50" s="560"/>
      <c r="CO50" s="2">
        <v>0</v>
      </c>
      <c r="CP50" s="571"/>
      <c r="CQ50" s="547"/>
      <c r="CR50" s="544"/>
      <c r="CS50" s="114"/>
      <c r="CT50" s="2"/>
    </row>
    <row r="51" spans="1:98" ht="14" x14ac:dyDescent="0.25">
      <c r="A51" s="60">
        <v>3122082</v>
      </c>
      <c r="B51" s="145">
        <v>2082</v>
      </c>
      <c r="C51" s="211" t="s">
        <v>186</v>
      </c>
      <c r="D51" s="217">
        <v>894</v>
      </c>
      <c r="E51" s="224">
        <v>894</v>
      </c>
      <c r="F51" s="224">
        <v>0</v>
      </c>
      <c r="G51" s="224">
        <v>0</v>
      </c>
      <c r="H51" s="224">
        <v>0</v>
      </c>
      <c r="I51" s="224">
        <v>244.99999999999989</v>
      </c>
      <c r="J51" s="221">
        <v>0</v>
      </c>
      <c r="K51" s="214">
        <v>249.99999999999991</v>
      </c>
      <c r="L51" s="224">
        <v>0</v>
      </c>
      <c r="M51" s="224">
        <v>323.44719101123616</v>
      </c>
      <c r="N51" s="224">
        <v>335.50112359550513</v>
      </c>
      <c r="O51" s="224">
        <v>1.0044943820224741</v>
      </c>
      <c r="P51" s="224">
        <v>2.0089887640449482</v>
      </c>
      <c r="Q51" s="224">
        <v>1.0044943820224741</v>
      </c>
      <c r="R51" s="224">
        <v>0</v>
      </c>
      <c r="S51" s="224">
        <v>0</v>
      </c>
      <c r="T51" s="224">
        <v>0</v>
      </c>
      <c r="U51" s="224">
        <v>0</v>
      </c>
      <c r="V51" s="224">
        <v>0</v>
      </c>
      <c r="W51" s="224">
        <v>0</v>
      </c>
      <c r="X51" s="224">
        <v>0</v>
      </c>
      <c r="Y51" s="224">
        <v>353.44186046511595</v>
      </c>
      <c r="Z51" s="224">
        <v>0</v>
      </c>
      <c r="AA51" s="224">
        <v>192.02880046575163</v>
      </c>
      <c r="AB51" s="224">
        <v>0</v>
      </c>
      <c r="AC51" s="224">
        <v>42.35999999999958</v>
      </c>
      <c r="AD51" s="221">
        <v>0</v>
      </c>
      <c r="AE51" s="230">
        <v>3519999.8400000003</v>
      </c>
      <c r="AF51" s="128">
        <v>0</v>
      </c>
      <c r="AG51" s="233">
        <v>0</v>
      </c>
      <c r="AH51" s="240">
        <v>132110.22299999994</v>
      </c>
      <c r="AI51" s="237">
        <v>0</v>
      </c>
      <c r="AJ51" s="243">
        <v>225594.29999999993</v>
      </c>
      <c r="AK51" s="251">
        <v>0</v>
      </c>
      <c r="AL51" s="259">
        <v>83646.06351775286</v>
      </c>
      <c r="AM51" s="256">
        <v>105223.58644449423</v>
      </c>
      <c r="AN51" s="243">
        <v>491.90562000000108</v>
      </c>
      <c r="AO51" s="129">
        <v>1072.2437110112385</v>
      </c>
      <c r="AP51" s="129">
        <v>569.28403213483273</v>
      </c>
      <c r="AQ51" s="129">
        <v>0</v>
      </c>
      <c r="AR51" s="129">
        <v>0</v>
      </c>
      <c r="AS51" s="129">
        <v>0</v>
      </c>
      <c r="AT51" s="129">
        <v>0</v>
      </c>
      <c r="AU51" s="129">
        <v>0</v>
      </c>
      <c r="AV51" s="129">
        <v>0</v>
      </c>
      <c r="AW51" s="129">
        <v>0</v>
      </c>
      <c r="AX51" s="129">
        <v>229479.69156279048</v>
      </c>
      <c r="AY51" s="129">
        <v>0</v>
      </c>
      <c r="AZ51" s="129">
        <v>247244.416099833</v>
      </c>
      <c r="BA51" s="129">
        <v>0</v>
      </c>
      <c r="BB51" s="129">
        <v>44750.866175999559</v>
      </c>
      <c r="BC51" s="251">
        <v>0</v>
      </c>
      <c r="BD51" s="252"/>
      <c r="BE51" s="252">
        <v>151599.37</v>
      </c>
      <c r="BF51" s="254"/>
      <c r="BG51" s="259">
        <v>18274</v>
      </c>
      <c r="BH51" s="256">
        <v>0</v>
      </c>
      <c r="BI51" s="243"/>
      <c r="BJ51" s="129"/>
      <c r="BK51" s="129"/>
      <c r="BL51" s="251">
        <v>3519999.8400000003</v>
      </c>
      <c r="BM51" s="259">
        <v>1070182.580164016</v>
      </c>
      <c r="BN51" s="259">
        <v>169873.37</v>
      </c>
      <c r="BO51" s="259">
        <v>560262.90047194983</v>
      </c>
      <c r="BP51" s="136">
        <v>4760055.7901640162</v>
      </c>
      <c r="BQ51" s="136">
        <v>4759812.6221640166</v>
      </c>
      <c r="BR51" s="267">
        <v>0</v>
      </c>
      <c r="BS51" s="136">
        <v>4589939.2521640165</v>
      </c>
      <c r="BT51" s="271">
        <v>5134.1602373199294</v>
      </c>
      <c r="BU51" s="271">
        <v>5120.0204179398143</v>
      </c>
      <c r="BV51" s="275">
        <v>2.7616724594634861E-3</v>
      </c>
      <c r="BW51" s="275">
        <v>2.238327540536514E-3</v>
      </c>
      <c r="BX51" s="278">
        <v>10002.32474236893</v>
      </c>
      <c r="BY51" s="288">
        <v>4770058.1149063855</v>
      </c>
      <c r="BZ51" s="256">
        <v>0</v>
      </c>
      <c r="CA51" s="263">
        <v>0</v>
      </c>
      <c r="CB51" s="296">
        <v>4770058.1149063855</v>
      </c>
      <c r="CC51" s="2"/>
      <c r="CD51" s="521">
        <f>VLOOKUP(B51,'EYSFF (Universal)'!$A$10:$AC$66,29,0)</f>
        <v>227907.492</v>
      </c>
      <c r="CE51" s="523"/>
      <c r="CF51" s="514"/>
      <c r="CG51" s="100"/>
      <c r="CH51" s="565">
        <v>84000</v>
      </c>
      <c r="CI51" s="114">
        <v>480305.6043666667</v>
      </c>
      <c r="CK51" s="111"/>
      <c r="CL51" s="111"/>
      <c r="CM51" s="556"/>
      <c r="CN51" s="560"/>
      <c r="CO51" s="2">
        <v>0</v>
      </c>
      <c r="CP51" s="571"/>
      <c r="CQ51" s="547"/>
      <c r="CR51" s="544"/>
      <c r="CS51" s="114"/>
      <c r="CT51" s="2"/>
    </row>
    <row r="52" spans="1:98" ht="14" x14ac:dyDescent="0.25">
      <c r="A52" s="60">
        <v>3122084</v>
      </c>
      <c r="B52" s="145">
        <v>2084</v>
      </c>
      <c r="C52" s="211" t="s">
        <v>53</v>
      </c>
      <c r="D52" s="217">
        <v>578</v>
      </c>
      <c r="E52" s="224">
        <v>578</v>
      </c>
      <c r="F52" s="224">
        <v>0</v>
      </c>
      <c r="G52" s="224">
        <v>0</v>
      </c>
      <c r="H52" s="224">
        <v>0</v>
      </c>
      <c r="I52" s="224">
        <v>190.99999999999977</v>
      </c>
      <c r="J52" s="221">
        <v>0</v>
      </c>
      <c r="K52" s="214">
        <v>192.00000000000014</v>
      </c>
      <c r="L52" s="224">
        <v>0</v>
      </c>
      <c r="M52" s="224">
        <v>147.99999999999983</v>
      </c>
      <c r="N52" s="224">
        <v>299.00000000000017</v>
      </c>
      <c r="O52" s="224">
        <v>14.999999999999996</v>
      </c>
      <c r="P52" s="224">
        <v>12.000000000000009</v>
      </c>
      <c r="Q52" s="224">
        <v>2.0000000000000018</v>
      </c>
      <c r="R52" s="224">
        <v>0</v>
      </c>
      <c r="S52" s="224">
        <v>0</v>
      </c>
      <c r="T52" s="224">
        <v>0</v>
      </c>
      <c r="U52" s="224">
        <v>0</v>
      </c>
      <c r="V52" s="224">
        <v>0</v>
      </c>
      <c r="W52" s="224">
        <v>0</v>
      </c>
      <c r="X52" s="224">
        <v>0</v>
      </c>
      <c r="Y52" s="224">
        <v>171.52032520325216</v>
      </c>
      <c r="Z52" s="224">
        <v>0</v>
      </c>
      <c r="AA52" s="224">
        <v>200.13939937907398</v>
      </c>
      <c r="AB52" s="224">
        <v>0</v>
      </c>
      <c r="AC52" s="224">
        <v>8.3945233968803912</v>
      </c>
      <c r="AD52" s="221">
        <v>0</v>
      </c>
      <c r="AE52" s="230">
        <v>2275794.08</v>
      </c>
      <c r="AF52" s="128">
        <v>0</v>
      </c>
      <c r="AG52" s="233">
        <v>0</v>
      </c>
      <c r="AH52" s="240">
        <v>102992.05139999988</v>
      </c>
      <c r="AI52" s="237">
        <v>0</v>
      </c>
      <c r="AJ52" s="243">
        <v>173256.42240000013</v>
      </c>
      <c r="AK52" s="251">
        <v>0</v>
      </c>
      <c r="AL52" s="259">
        <v>38273.99879999995</v>
      </c>
      <c r="AM52" s="256">
        <v>93775.698900000061</v>
      </c>
      <c r="AN52" s="243">
        <v>7345.570499999998</v>
      </c>
      <c r="AO52" s="129">
        <v>6404.6772000000055</v>
      </c>
      <c r="AP52" s="129">
        <v>1133.4738000000009</v>
      </c>
      <c r="AQ52" s="129">
        <v>0</v>
      </c>
      <c r="AR52" s="129">
        <v>0</v>
      </c>
      <c r="AS52" s="129">
        <v>0</v>
      </c>
      <c r="AT52" s="129">
        <v>0</v>
      </c>
      <c r="AU52" s="129">
        <v>0</v>
      </c>
      <c r="AV52" s="129">
        <v>0</v>
      </c>
      <c r="AW52" s="129">
        <v>0</v>
      </c>
      <c r="AX52" s="129">
        <v>111363.24167317081</v>
      </c>
      <c r="AY52" s="129">
        <v>0</v>
      </c>
      <c r="AZ52" s="129">
        <v>257687.12202561402</v>
      </c>
      <c r="BA52" s="129">
        <v>0</v>
      </c>
      <c r="BB52" s="129">
        <v>8868.3237286377571</v>
      </c>
      <c r="BC52" s="251">
        <v>0</v>
      </c>
      <c r="BD52" s="252"/>
      <c r="BE52" s="252">
        <v>151599.37</v>
      </c>
      <c r="BF52" s="254"/>
      <c r="BG52" s="259">
        <v>86662.8</v>
      </c>
      <c r="BH52" s="256">
        <v>13580.800000000003</v>
      </c>
      <c r="BI52" s="243"/>
      <c r="BJ52" s="129"/>
      <c r="BK52" s="129"/>
      <c r="BL52" s="251">
        <v>2275794.08</v>
      </c>
      <c r="BM52" s="259">
        <v>801100.58042742254</v>
      </c>
      <c r="BN52" s="259">
        <v>251842.96999999997</v>
      </c>
      <c r="BO52" s="259">
        <v>475445.38526523201</v>
      </c>
      <c r="BP52" s="136">
        <v>3328737.6304274229</v>
      </c>
      <c r="BQ52" s="136">
        <v>3328580.4144274225</v>
      </c>
      <c r="BR52" s="267">
        <v>0</v>
      </c>
      <c r="BS52" s="136">
        <v>3076737.4444274227</v>
      </c>
      <c r="BT52" s="271">
        <v>5323.0751633692435</v>
      </c>
      <c r="BU52" s="271">
        <v>5329.3481441077447</v>
      </c>
      <c r="BV52" s="275">
        <v>-1.177063417303072E-3</v>
      </c>
      <c r="BW52" s="275">
        <v>6.1770634173030723E-3</v>
      </c>
      <c r="BX52" s="278">
        <v>18870.38300332514</v>
      </c>
      <c r="BY52" s="288">
        <v>3347608.0134307481</v>
      </c>
      <c r="BZ52" s="256">
        <v>-739.84</v>
      </c>
      <c r="CA52" s="263">
        <v>-6317.54</v>
      </c>
      <c r="CB52" s="296">
        <v>3340550.6334307482</v>
      </c>
      <c r="CC52" s="2"/>
      <c r="CD52" s="521">
        <f>VLOOKUP(B52,'EYSFF (Universal)'!$A$10:$AC$66,29,0)</f>
        <v>229575.0009150579</v>
      </c>
      <c r="CE52" s="523">
        <f>VLOOKUP(B52,'EYSFF (Additional)'!$A$11:$AB$57,28,0)</f>
        <v>59438.866900000001</v>
      </c>
      <c r="CF52" s="514"/>
      <c r="CG52" s="100"/>
      <c r="CH52" s="565">
        <v>60000</v>
      </c>
      <c r="CI52" s="114">
        <v>336027</v>
      </c>
      <c r="CK52" s="111">
        <v>286635</v>
      </c>
      <c r="CL52" s="111">
        <v>0</v>
      </c>
      <c r="CM52" s="556">
        <v>15180</v>
      </c>
      <c r="CN52" s="560">
        <v>8800</v>
      </c>
      <c r="CO52" s="2">
        <v>54061.714285714283</v>
      </c>
      <c r="CP52" s="571">
        <v>74989.2</v>
      </c>
      <c r="CQ52" s="547">
        <v>11308</v>
      </c>
      <c r="CR52" s="544"/>
      <c r="CS52" s="114"/>
      <c r="CT52" s="2"/>
    </row>
    <row r="53" spans="1:98" ht="14" x14ac:dyDescent="0.25">
      <c r="A53" s="60">
        <v>3123300</v>
      </c>
      <c r="B53" s="145">
        <v>3300</v>
      </c>
      <c r="C53" s="211" t="s">
        <v>49</v>
      </c>
      <c r="D53" s="217">
        <v>202</v>
      </c>
      <c r="E53" s="224">
        <v>202</v>
      </c>
      <c r="F53" s="224">
        <v>0</v>
      </c>
      <c r="G53" s="224">
        <v>0</v>
      </c>
      <c r="H53" s="224">
        <v>0</v>
      </c>
      <c r="I53" s="224">
        <v>36.999999999999964</v>
      </c>
      <c r="J53" s="221">
        <v>0</v>
      </c>
      <c r="K53" s="214">
        <v>36.999999999999964</v>
      </c>
      <c r="L53" s="224">
        <v>0</v>
      </c>
      <c r="M53" s="224">
        <v>30.000000000000099</v>
      </c>
      <c r="N53" s="224">
        <v>7.0000000000000089</v>
      </c>
      <c r="O53" s="224">
        <v>3.0000000000000098</v>
      </c>
      <c r="P53" s="224">
        <v>1.9999999999999998</v>
      </c>
      <c r="Q53" s="224">
        <v>0</v>
      </c>
      <c r="R53" s="224">
        <v>0</v>
      </c>
      <c r="S53" s="224">
        <v>0</v>
      </c>
      <c r="T53" s="224">
        <v>0</v>
      </c>
      <c r="U53" s="224">
        <v>0</v>
      </c>
      <c r="V53" s="224">
        <v>0</v>
      </c>
      <c r="W53" s="224">
        <v>0</v>
      </c>
      <c r="X53" s="224">
        <v>0</v>
      </c>
      <c r="Y53" s="224">
        <v>16.441860465116278</v>
      </c>
      <c r="Z53" s="224">
        <v>0</v>
      </c>
      <c r="AA53" s="224">
        <v>51.660339660339638</v>
      </c>
      <c r="AB53" s="224">
        <v>0</v>
      </c>
      <c r="AC53" s="224">
        <v>8.8800000000000079</v>
      </c>
      <c r="AD53" s="221">
        <v>0</v>
      </c>
      <c r="AE53" s="230">
        <v>795346.72</v>
      </c>
      <c r="AF53" s="128">
        <v>0</v>
      </c>
      <c r="AG53" s="233">
        <v>0</v>
      </c>
      <c r="AH53" s="240">
        <v>19951.339799999983</v>
      </c>
      <c r="AI53" s="237">
        <v>0</v>
      </c>
      <c r="AJ53" s="243">
        <v>33387.956399999966</v>
      </c>
      <c r="AK53" s="251">
        <v>0</v>
      </c>
      <c r="AL53" s="259">
        <v>7758.2430000000249</v>
      </c>
      <c r="AM53" s="256">
        <v>2195.4177000000027</v>
      </c>
      <c r="AN53" s="243">
        <v>1469.1141000000048</v>
      </c>
      <c r="AO53" s="129">
        <v>1067.4461999999999</v>
      </c>
      <c r="AP53" s="129">
        <v>0</v>
      </c>
      <c r="AQ53" s="129">
        <v>0</v>
      </c>
      <c r="AR53" s="129">
        <v>0</v>
      </c>
      <c r="AS53" s="129">
        <v>0</v>
      </c>
      <c r="AT53" s="129">
        <v>0</v>
      </c>
      <c r="AU53" s="129">
        <v>0</v>
      </c>
      <c r="AV53" s="129">
        <v>0</v>
      </c>
      <c r="AW53" s="129">
        <v>0</v>
      </c>
      <c r="AX53" s="129">
        <v>10675.229762790697</v>
      </c>
      <c r="AY53" s="129">
        <v>0</v>
      </c>
      <c r="AZ53" s="129">
        <v>66514.6607376623</v>
      </c>
      <c r="BA53" s="129">
        <v>0</v>
      </c>
      <c r="BB53" s="129">
        <v>9381.2014080000099</v>
      </c>
      <c r="BC53" s="251">
        <v>0</v>
      </c>
      <c r="BD53" s="252"/>
      <c r="BE53" s="252">
        <v>151599.37</v>
      </c>
      <c r="BF53" s="254"/>
      <c r="BG53" s="259">
        <v>5596.16</v>
      </c>
      <c r="BH53" s="256">
        <v>87.199999999999818</v>
      </c>
      <c r="BI53" s="243"/>
      <c r="BJ53" s="129"/>
      <c r="BK53" s="129"/>
      <c r="BL53" s="251">
        <v>795346.72</v>
      </c>
      <c r="BM53" s="259">
        <v>152400.60910845301</v>
      </c>
      <c r="BN53" s="259">
        <v>157282.73000000001</v>
      </c>
      <c r="BO53" s="259">
        <v>119099.23578684256</v>
      </c>
      <c r="BP53" s="136">
        <v>1105030.0591084531</v>
      </c>
      <c r="BQ53" s="136">
        <v>1104975.1151084532</v>
      </c>
      <c r="BR53" s="267">
        <v>0</v>
      </c>
      <c r="BS53" s="136">
        <v>947692.38510845322</v>
      </c>
      <c r="BT53" s="271">
        <v>4691.5464609329365</v>
      </c>
      <c r="BU53" s="271">
        <v>4714.4698343589753</v>
      </c>
      <c r="BV53" s="275">
        <v>-4.8623438544401383E-3</v>
      </c>
      <c r="BW53" s="275">
        <v>9.8623438544401393E-3</v>
      </c>
      <c r="BX53" s="278">
        <v>9337.1919647625946</v>
      </c>
      <c r="BY53" s="288">
        <v>1114367.2510732156</v>
      </c>
      <c r="BZ53" s="256">
        <v>-258.56</v>
      </c>
      <c r="CA53" s="263">
        <v>-2207.86</v>
      </c>
      <c r="CB53" s="296">
        <v>1111900.8310732155</v>
      </c>
      <c r="CC53" s="2"/>
      <c r="CD53" s="521">
        <f>VLOOKUP(B53,'EYSFF (Universal)'!$A$10:$AC$66,29,0)</f>
        <v>87164.488333333342</v>
      </c>
      <c r="CE53" s="523">
        <f>VLOOKUP(B53,'EYSFF (Additional)'!$A$11:$AB$57,28,0)</f>
        <v>49861.930250000005</v>
      </c>
      <c r="CF53" s="514"/>
      <c r="CG53" s="100"/>
      <c r="CH53" s="565">
        <v>0</v>
      </c>
      <c r="CI53" s="114">
        <v>59623.666666666664</v>
      </c>
      <c r="CK53" s="111">
        <v>59655</v>
      </c>
      <c r="CL53" s="111">
        <v>7370</v>
      </c>
      <c r="CM53" s="556">
        <v>0</v>
      </c>
      <c r="CN53" s="560">
        <v>7371</v>
      </c>
      <c r="CO53" s="2">
        <v>18202.285714285714</v>
      </c>
      <c r="CP53" s="571">
        <v>23794.65</v>
      </c>
      <c r="CQ53" s="547"/>
      <c r="CR53" s="544"/>
      <c r="CS53" s="114"/>
      <c r="CT53" s="2"/>
    </row>
    <row r="54" spans="1:98" ht="14" x14ac:dyDescent="0.25">
      <c r="A54" s="60">
        <v>3123302</v>
      </c>
      <c r="B54" s="145">
        <v>3302</v>
      </c>
      <c r="C54" s="211" t="s">
        <v>114</v>
      </c>
      <c r="D54" s="217">
        <v>171</v>
      </c>
      <c r="E54" s="224">
        <v>171</v>
      </c>
      <c r="F54" s="224">
        <v>0</v>
      </c>
      <c r="G54" s="224">
        <v>0</v>
      </c>
      <c r="H54" s="224">
        <v>0</v>
      </c>
      <c r="I54" s="224">
        <v>23.999999999999922</v>
      </c>
      <c r="J54" s="221">
        <v>0</v>
      </c>
      <c r="K54" s="214">
        <v>23.999999999999922</v>
      </c>
      <c r="L54" s="224">
        <v>0</v>
      </c>
      <c r="M54" s="224">
        <v>18.000000000000028</v>
      </c>
      <c r="N54" s="224">
        <v>4.0000000000000036</v>
      </c>
      <c r="O54" s="224">
        <v>1.9999999999999933</v>
      </c>
      <c r="P54" s="224">
        <v>0</v>
      </c>
      <c r="Q54" s="224">
        <v>0</v>
      </c>
      <c r="R54" s="224">
        <v>0</v>
      </c>
      <c r="S54" s="224">
        <v>0</v>
      </c>
      <c r="T54" s="224">
        <v>0</v>
      </c>
      <c r="U54" s="224">
        <v>0</v>
      </c>
      <c r="V54" s="224">
        <v>0</v>
      </c>
      <c r="W54" s="224">
        <v>0</v>
      </c>
      <c r="X54" s="224">
        <v>0</v>
      </c>
      <c r="Y54" s="224">
        <v>25.418918918918976</v>
      </c>
      <c r="Z54" s="224">
        <v>0</v>
      </c>
      <c r="AA54" s="224">
        <v>44.502733812949614</v>
      </c>
      <c r="AB54" s="224">
        <v>0</v>
      </c>
      <c r="AC54" s="224">
        <v>7.7400000000000277</v>
      </c>
      <c r="AD54" s="221">
        <v>0</v>
      </c>
      <c r="AE54" s="230">
        <v>673288.56</v>
      </c>
      <c r="AF54" s="128">
        <v>0</v>
      </c>
      <c r="AG54" s="233">
        <v>0</v>
      </c>
      <c r="AH54" s="240">
        <v>12941.409599999959</v>
      </c>
      <c r="AI54" s="237">
        <v>0</v>
      </c>
      <c r="AJ54" s="243">
        <v>21657.052799999929</v>
      </c>
      <c r="AK54" s="251">
        <v>0</v>
      </c>
      <c r="AL54" s="259">
        <v>4654.9458000000068</v>
      </c>
      <c r="AM54" s="256">
        <v>1254.5244000000012</v>
      </c>
      <c r="AN54" s="243">
        <v>979.40939999999671</v>
      </c>
      <c r="AO54" s="129">
        <v>0</v>
      </c>
      <c r="AP54" s="129">
        <v>0</v>
      </c>
      <c r="AQ54" s="129">
        <v>0</v>
      </c>
      <c r="AR54" s="129">
        <v>0</v>
      </c>
      <c r="AS54" s="129">
        <v>0</v>
      </c>
      <c r="AT54" s="129">
        <v>0</v>
      </c>
      <c r="AU54" s="129">
        <v>0</v>
      </c>
      <c r="AV54" s="129">
        <v>0</v>
      </c>
      <c r="AW54" s="129">
        <v>0</v>
      </c>
      <c r="AX54" s="129">
        <v>16503.777072973011</v>
      </c>
      <c r="AY54" s="129">
        <v>0</v>
      </c>
      <c r="AZ54" s="129">
        <v>57298.969788604285</v>
      </c>
      <c r="BA54" s="129">
        <v>0</v>
      </c>
      <c r="BB54" s="129">
        <v>8176.8579840000302</v>
      </c>
      <c r="BC54" s="251">
        <v>0</v>
      </c>
      <c r="BD54" s="252"/>
      <c r="BE54" s="252">
        <v>151599.37</v>
      </c>
      <c r="BF54" s="254"/>
      <c r="BG54" s="259">
        <v>2818.335</v>
      </c>
      <c r="BH54" s="256">
        <v>692.66000000000031</v>
      </c>
      <c r="BI54" s="243"/>
      <c r="BJ54" s="129"/>
      <c r="BK54" s="129"/>
      <c r="BL54" s="251">
        <v>673288.56</v>
      </c>
      <c r="BM54" s="259">
        <v>123466.94684557721</v>
      </c>
      <c r="BN54" s="259">
        <v>155110.36499999999</v>
      </c>
      <c r="BO54" s="259">
        <v>98026.100468407996</v>
      </c>
      <c r="BP54" s="136">
        <v>951865.87184557726</v>
      </c>
      <c r="BQ54" s="136">
        <v>951819.35984557727</v>
      </c>
      <c r="BR54" s="267">
        <v>0</v>
      </c>
      <c r="BS54" s="136">
        <v>796708.99484557728</v>
      </c>
      <c r="BT54" s="271">
        <v>4659.116928921505</v>
      </c>
      <c r="BU54" s="271">
        <v>4544.4448815789474</v>
      </c>
      <c r="BV54" s="275">
        <v>2.5233455423210076E-2</v>
      </c>
      <c r="BW54" s="275">
        <v>0</v>
      </c>
      <c r="BX54" s="278">
        <v>0</v>
      </c>
      <c r="BY54" s="288">
        <v>951865.87184557726</v>
      </c>
      <c r="BZ54" s="256">
        <v>-218.88</v>
      </c>
      <c r="CA54" s="263">
        <v>-1869.03</v>
      </c>
      <c r="CB54" s="296">
        <v>949777.96184557723</v>
      </c>
      <c r="CC54" s="2"/>
      <c r="CD54" s="521"/>
      <c r="CE54" s="523"/>
      <c r="CF54" s="514"/>
      <c r="CG54" s="100"/>
      <c r="CH54" s="565">
        <v>0</v>
      </c>
      <c r="CI54" s="114">
        <v>51813</v>
      </c>
      <c r="CK54" s="111">
        <v>36375</v>
      </c>
      <c r="CL54" s="111">
        <v>3015</v>
      </c>
      <c r="CM54" s="556">
        <v>7590</v>
      </c>
      <c r="CN54" s="560">
        <v>7379</v>
      </c>
      <c r="CO54" s="2">
        <v>16925.142857142855</v>
      </c>
      <c r="CP54" s="571">
        <v>27399.9</v>
      </c>
      <c r="CQ54" s="547"/>
      <c r="CR54" s="544"/>
      <c r="CS54" s="114"/>
      <c r="CT54" s="2"/>
    </row>
    <row r="55" spans="1:98" ht="14" x14ac:dyDescent="0.25">
      <c r="A55" s="60">
        <v>3123306</v>
      </c>
      <c r="B55" s="145">
        <v>3306</v>
      </c>
      <c r="C55" s="211" t="s">
        <v>163</v>
      </c>
      <c r="D55" s="217">
        <v>388</v>
      </c>
      <c r="E55" s="224">
        <v>388</v>
      </c>
      <c r="F55" s="224">
        <v>0</v>
      </c>
      <c r="G55" s="224">
        <v>0</v>
      </c>
      <c r="H55" s="224">
        <v>0</v>
      </c>
      <c r="I55" s="224">
        <v>87.999999999999929</v>
      </c>
      <c r="J55" s="221">
        <v>0</v>
      </c>
      <c r="K55" s="214">
        <v>88.999999999999972</v>
      </c>
      <c r="L55" s="224">
        <v>0</v>
      </c>
      <c r="M55" s="224">
        <v>74.191214470284336</v>
      </c>
      <c r="N55" s="224">
        <v>199.51421188630508</v>
      </c>
      <c r="O55" s="224">
        <v>55.142118863049241</v>
      </c>
      <c r="P55" s="224">
        <v>14.036175710594298</v>
      </c>
      <c r="Q55" s="224">
        <v>0</v>
      </c>
      <c r="R55" s="224">
        <v>0</v>
      </c>
      <c r="S55" s="224">
        <v>0</v>
      </c>
      <c r="T55" s="224">
        <v>0</v>
      </c>
      <c r="U55" s="224">
        <v>0</v>
      </c>
      <c r="V55" s="224">
        <v>0</v>
      </c>
      <c r="W55" s="224">
        <v>0</v>
      </c>
      <c r="X55" s="224">
        <v>0</v>
      </c>
      <c r="Y55" s="224">
        <v>120.20858895705506</v>
      </c>
      <c r="Z55" s="224">
        <v>0</v>
      </c>
      <c r="AA55" s="224">
        <v>166.55163021217322</v>
      </c>
      <c r="AB55" s="224">
        <v>0</v>
      </c>
      <c r="AC55" s="224">
        <v>13.719999999999983</v>
      </c>
      <c r="AD55" s="221">
        <v>0</v>
      </c>
      <c r="AE55" s="230">
        <v>1527695.68</v>
      </c>
      <c r="AF55" s="128">
        <v>0</v>
      </c>
      <c r="AG55" s="233">
        <v>0</v>
      </c>
      <c r="AH55" s="240">
        <v>47451.835199999965</v>
      </c>
      <c r="AI55" s="237">
        <v>0</v>
      </c>
      <c r="AJ55" s="243">
        <v>80311.570799999972</v>
      </c>
      <c r="AK55" s="251">
        <v>0</v>
      </c>
      <c r="AL55" s="259">
        <v>19186.449010852739</v>
      </c>
      <c r="AM55" s="256">
        <v>62573.861739534936</v>
      </c>
      <c r="AN55" s="243">
        <v>27003.354775193871</v>
      </c>
      <c r="AO55" s="129">
        <v>7491.4312124030921</v>
      </c>
      <c r="AP55" s="129">
        <v>0</v>
      </c>
      <c r="AQ55" s="129">
        <v>0</v>
      </c>
      <c r="AR55" s="129">
        <v>0</v>
      </c>
      <c r="AS55" s="129">
        <v>0</v>
      </c>
      <c r="AT55" s="129">
        <v>0</v>
      </c>
      <c r="AU55" s="129">
        <v>0</v>
      </c>
      <c r="AV55" s="129">
        <v>0</v>
      </c>
      <c r="AW55" s="129">
        <v>0</v>
      </c>
      <c r="AX55" s="129">
        <v>78047.99884417167</v>
      </c>
      <c r="AY55" s="129">
        <v>0</v>
      </c>
      <c r="AZ55" s="129">
        <v>214441.58617044712</v>
      </c>
      <c r="BA55" s="129">
        <v>0</v>
      </c>
      <c r="BB55" s="129">
        <v>14494.378751999984</v>
      </c>
      <c r="BC55" s="251">
        <v>0</v>
      </c>
      <c r="BD55" s="252"/>
      <c r="BE55" s="252">
        <v>151599.37</v>
      </c>
      <c r="BF55" s="254"/>
      <c r="BG55" s="259">
        <v>6038</v>
      </c>
      <c r="BH55" s="256">
        <v>0</v>
      </c>
      <c r="BI55" s="243"/>
      <c r="BJ55" s="129"/>
      <c r="BK55" s="129"/>
      <c r="BL55" s="251">
        <v>1527695.68</v>
      </c>
      <c r="BM55" s="259">
        <v>551002.46650460339</v>
      </c>
      <c r="BN55" s="259">
        <v>157637.37</v>
      </c>
      <c r="BO55" s="259">
        <v>353245.30073767336</v>
      </c>
      <c r="BP55" s="136">
        <v>2236335.5165046034</v>
      </c>
      <c r="BQ55" s="136">
        <v>2236229.9805046031</v>
      </c>
      <c r="BR55" s="267">
        <v>0</v>
      </c>
      <c r="BS55" s="136">
        <v>2078592.6105046035</v>
      </c>
      <c r="BT55" s="271">
        <v>5357.1974497541323</v>
      </c>
      <c r="BU55" s="271">
        <v>5201.4962657499991</v>
      </c>
      <c r="BV55" s="275">
        <v>2.9933922096487903E-2</v>
      </c>
      <c r="BW55" s="275">
        <v>0</v>
      </c>
      <c r="BX55" s="278">
        <v>0</v>
      </c>
      <c r="BY55" s="288">
        <v>2236335.5165046034</v>
      </c>
      <c r="BZ55" s="256">
        <v>0</v>
      </c>
      <c r="CA55" s="263">
        <v>0</v>
      </c>
      <c r="CB55" s="296">
        <v>2236335.5165046034</v>
      </c>
      <c r="CC55" s="2"/>
      <c r="CD55" s="521">
        <f>VLOOKUP(B55,'EYSFF (Universal)'!$A$10:$AC$66,29,0)</f>
        <v>116498.25</v>
      </c>
      <c r="CE55" s="523">
        <f>VLOOKUP(B55,'EYSFF (Additional)'!$A$11:$AB$57,28,0)</f>
        <v>4697.2575000000006</v>
      </c>
      <c r="CF55" s="514"/>
      <c r="CG55" s="100"/>
      <c r="CH55" s="565">
        <v>0</v>
      </c>
      <c r="CI55" s="114">
        <v>16261</v>
      </c>
      <c r="CK55" s="111"/>
      <c r="CL55" s="111"/>
      <c r="CM55" s="556"/>
      <c r="CN55" s="560"/>
      <c r="CO55" s="2">
        <v>0</v>
      </c>
      <c r="CP55" s="571"/>
      <c r="CQ55" s="547"/>
      <c r="CR55" s="544"/>
      <c r="CS55" s="114"/>
      <c r="CT55" s="2"/>
    </row>
    <row r="56" spans="1:98" ht="14" x14ac:dyDescent="0.25">
      <c r="A56" s="60">
        <v>3123307</v>
      </c>
      <c r="B56" s="145">
        <v>3307</v>
      </c>
      <c r="C56" s="211" t="s">
        <v>69</v>
      </c>
      <c r="D56" s="217">
        <v>413</v>
      </c>
      <c r="E56" s="224">
        <v>413</v>
      </c>
      <c r="F56" s="224">
        <v>0</v>
      </c>
      <c r="G56" s="224">
        <v>0</v>
      </c>
      <c r="H56" s="224">
        <v>0</v>
      </c>
      <c r="I56" s="224">
        <v>96.999999999999972</v>
      </c>
      <c r="J56" s="221">
        <v>0</v>
      </c>
      <c r="K56" s="214">
        <v>97.999999999999858</v>
      </c>
      <c r="L56" s="224">
        <v>0</v>
      </c>
      <c r="M56" s="224">
        <v>142.99999999999983</v>
      </c>
      <c r="N56" s="224">
        <v>159.00000000000011</v>
      </c>
      <c r="O56" s="224">
        <v>4.9999999999999822</v>
      </c>
      <c r="P56" s="224">
        <v>2.0000000000000013</v>
      </c>
      <c r="Q56" s="224">
        <v>4.9999999999999822</v>
      </c>
      <c r="R56" s="224">
        <v>0</v>
      </c>
      <c r="S56" s="224">
        <v>0</v>
      </c>
      <c r="T56" s="224">
        <v>0</v>
      </c>
      <c r="U56" s="224">
        <v>0</v>
      </c>
      <c r="V56" s="224">
        <v>0</v>
      </c>
      <c r="W56" s="224">
        <v>0</v>
      </c>
      <c r="X56" s="224">
        <v>0</v>
      </c>
      <c r="Y56" s="224">
        <v>100.30000000000005</v>
      </c>
      <c r="Z56" s="224">
        <v>0</v>
      </c>
      <c r="AA56" s="224">
        <v>108.81095596133204</v>
      </c>
      <c r="AB56" s="224">
        <v>0</v>
      </c>
      <c r="AC56" s="224">
        <v>0</v>
      </c>
      <c r="AD56" s="221">
        <v>0</v>
      </c>
      <c r="AE56" s="230">
        <v>1626129.6800000002</v>
      </c>
      <c r="AF56" s="128">
        <v>0</v>
      </c>
      <c r="AG56" s="233">
        <v>0</v>
      </c>
      <c r="AH56" s="240">
        <v>52304.863799999985</v>
      </c>
      <c r="AI56" s="237">
        <v>0</v>
      </c>
      <c r="AJ56" s="243">
        <v>88432.965599999879</v>
      </c>
      <c r="AK56" s="251">
        <v>0</v>
      </c>
      <c r="AL56" s="259">
        <v>36980.958299999955</v>
      </c>
      <c r="AM56" s="256">
        <v>49867.344900000033</v>
      </c>
      <c r="AN56" s="243">
        <v>2448.5234999999911</v>
      </c>
      <c r="AO56" s="129">
        <v>1067.4462000000008</v>
      </c>
      <c r="AP56" s="129">
        <v>2833.6844999999898</v>
      </c>
      <c r="AQ56" s="129">
        <v>0</v>
      </c>
      <c r="AR56" s="129">
        <v>0</v>
      </c>
      <c r="AS56" s="129">
        <v>0</v>
      </c>
      <c r="AT56" s="129">
        <v>0</v>
      </c>
      <c r="AU56" s="129">
        <v>0</v>
      </c>
      <c r="AV56" s="129">
        <v>0</v>
      </c>
      <c r="AW56" s="129">
        <v>0</v>
      </c>
      <c r="AX56" s="129">
        <v>65121.921420000035</v>
      </c>
      <c r="AY56" s="129">
        <v>0</v>
      </c>
      <c r="AZ56" s="129">
        <v>140098.26237873273</v>
      </c>
      <c r="BA56" s="129">
        <v>0</v>
      </c>
      <c r="BB56" s="129">
        <v>0</v>
      </c>
      <c r="BC56" s="251">
        <v>0</v>
      </c>
      <c r="BD56" s="252"/>
      <c r="BE56" s="252">
        <v>151599.37</v>
      </c>
      <c r="BF56" s="254"/>
      <c r="BG56" s="259">
        <v>7878.92</v>
      </c>
      <c r="BH56" s="256">
        <v>1396.1200000000008</v>
      </c>
      <c r="BI56" s="243"/>
      <c r="BJ56" s="129"/>
      <c r="BK56" s="129"/>
      <c r="BL56" s="251">
        <v>1626129.6800000002</v>
      </c>
      <c r="BM56" s="259">
        <v>439155.97059873259</v>
      </c>
      <c r="BN56" s="259">
        <v>160874.41</v>
      </c>
      <c r="BO56" s="259">
        <v>277576.12715600868</v>
      </c>
      <c r="BP56" s="136">
        <v>2226160.0605987329</v>
      </c>
      <c r="BQ56" s="136">
        <v>2226047.7245987323</v>
      </c>
      <c r="BR56" s="267">
        <v>0</v>
      </c>
      <c r="BS56" s="136">
        <v>2065173.3145987326</v>
      </c>
      <c r="BT56" s="271">
        <v>5000.4196479388202</v>
      </c>
      <c r="BU56" s="271">
        <v>4911.5677416867475</v>
      </c>
      <c r="BV56" s="275">
        <v>1.8090335087500773E-2</v>
      </c>
      <c r="BW56" s="275">
        <v>0</v>
      </c>
      <c r="BX56" s="278">
        <v>0</v>
      </c>
      <c r="BY56" s="288">
        <v>2226160.0605987329</v>
      </c>
      <c r="BZ56" s="256">
        <v>-528.64</v>
      </c>
      <c r="CA56" s="263">
        <v>-4514.09</v>
      </c>
      <c r="CB56" s="296">
        <v>2221117.3305987329</v>
      </c>
      <c r="CC56" s="2"/>
      <c r="CD56" s="521">
        <f>VLOOKUP(B56,'EYSFF (Universal)'!$A$10:$AC$66,29,0)</f>
        <v>125129.01637500001</v>
      </c>
      <c r="CE56" s="523">
        <f>VLOOKUP(B56,'EYSFF (Additional)'!$A$11:$AB$57,28,0)</f>
        <v>41519.150150000001</v>
      </c>
      <c r="CF56" s="514"/>
      <c r="CG56" s="100"/>
      <c r="CH56" s="565">
        <v>0</v>
      </c>
      <c r="CI56" s="114">
        <v>83729</v>
      </c>
      <c r="CK56" s="111">
        <v>122220</v>
      </c>
      <c r="CL56" s="111">
        <v>0</v>
      </c>
      <c r="CM56" s="556">
        <v>2530</v>
      </c>
      <c r="CN56" s="560">
        <v>8154</v>
      </c>
      <c r="CO56" s="2">
        <v>35622.857142857145</v>
      </c>
      <c r="CP56" s="571">
        <v>67538.350000000006</v>
      </c>
      <c r="CQ56" s="547"/>
      <c r="CR56" s="544"/>
      <c r="CS56" s="114"/>
      <c r="CT56" s="2"/>
    </row>
    <row r="57" spans="1:98" ht="14" x14ac:dyDescent="0.25">
      <c r="A57" s="60">
        <v>3123400</v>
      </c>
      <c r="B57" s="145">
        <v>3400</v>
      </c>
      <c r="C57" s="211" t="s">
        <v>165</v>
      </c>
      <c r="D57" s="217">
        <v>210</v>
      </c>
      <c r="E57" s="224">
        <v>210</v>
      </c>
      <c r="F57" s="224">
        <v>0</v>
      </c>
      <c r="G57" s="224">
        <v>0</v>
      </c>
      <c r="H57" s="224">
        <v>0</v>
      </c>
      <c r="I57" s="224">
        <v>8</v>
      </c>
      <c r="J57" s="221">
        <v>0</v>
      </c>
      <c r="K57" s="214">
        <v>8</v>
      </c>
      <c r="L57" s="224">
        <v>0</v>
      </c>
      <c r="M57" s="224">
        <v>34.000000000000021</v>
      </c>
      <c r="N57" s="224">
        <v>4.9999999999999982</v>
      </c>
      <c r="O57" s="224">
        <v>0</v>
      </c>
      <c r="P57" s="224">
        <v>0.99999999999999956</v>
      </c>
      <c r="Q57" s="224">
        <v>0</v>
      </c>
      <c r="R57" s="224">
        <v>0</v>
      </c>
      <c r="S57" s="224">
        <v>0</v>
      </c>
      <c r="T57" s="224">
        <v>0</v>
      </c>
      <c r="U57" s="224">
        <v>0</v>
      </c>
      <c r="V57" s="224">
        <v>0</v>
      </c>
      <c r="W57" s="224">
        <v>0</v>
      </c>
      <c r="X57" s="224">
        <v>0</v>
      </c>
      <c r="Y57" s="224">
        <v>27.999999999999929</v>
      </c>
      <c r="Z57" s="224">
        <v>0</v>
      </c>
      <c r="AA57" s="224">
        <v>42.67531964354901</v>
      </c>
      <c r="AB57" s="224">
        <v>0</v>
      </c>
      <c r="AC57" s="224">
        <v>0</v>
      </c>
      <c r="AD57" s="221">
        <v>0</v>
      </c>
      <c r="AE57" s="230">
        <v>826845.6</v>
      </c>
      <c r="AF57" s="128">
        <v>0</v>
      </c>
      <c r="AG57" s="233">
        <v>0</v>
      </c>
      <c r="AH57" s="240">
        <v>4313.8032000000003</v>
      </c>
      <c r="AI57" s="237">
        <v>0</v>
      </c>
      <c r="AJ57" s="243">
        <v>7219.0176000000001</v>
      </c>
      <c r="AK57" s="251">
        <v>0</v>
      </c>
      <c r="AL57" s="259">
        <v>8792.6754000000055</v>
      </c>
      <c r="AM57" s="256">
        <v>1568.1554999999994</v>
      </c>
      <c r="AN57" s="243">
        <v>0</v>
      </c>
      <c r="AO57" s="129">
        <v>533.72309999999982</v>
      </c>
      <c r="AP57" s="129">
        <v>0</v>
      </c>
      <c r="AQ57" s="129">
        <v>0</v>
      </c>
      <c r="AR57" s="129">
        <v>0</v>
      </c>
      <c r="AS57" s="129">
        <v>0</v>
      </c>
      <c r="AT57" s="129">
        <v>0</v>
      </c>
      <c r="AU57" s="129">
        <v>0</v>
      </c>
      <c r="AV57" s="129">
        <v>0</v>
      </c>
      <c r="AW57" s="129">
        <v>0</v>
      </c>
      <c r="AX57" s="129">
        <v>18179.599199999953</v>
      </c>
      <c r="AY57" s="129">
        <v>0</v>
      </c>
      <c r="AZ57" s="129">
        <v>54946.104238279731</v>
      </c>
      <c r="BA57" s="129">
        <v>0</v>
      </c>
      <c r="BB57" s="129">
        <v>0</v>
      </c>
      <c r="BC57" s="251">
        <v>0</v>
      </c>
      <c r="BD57" s="252"/>
      <c r="BE57" s="252">
        <v>151599.37</v>
      </c>
      <c r="BF57" s="254"/>
      <c r="BG57" s="259">
        <v>3751.68</v>
      </c>
      <c r="BH57" s="256">
        <v>409.94000000000005</v>
      </c>
      <c r="BI57" s="243"/>
      <c r="BJ57" s="129"/>
      <c r="BK57" s="129"/>
      <c r="BL57" s="251">
        <v>826845.6</v>
      </c>
      <c r="BM57" s="259">
        <v>95553.07823827969</v>
      </c>
      <c r="BN57" s="259">
        <v>155760.99</v>
      </c>
      <c r="BO57" s="259">
        <v>95176.063493982932</v>
      </c>
      <c r="BP57" s="136">
        <v>1078159.6682382796</v>
      </c>
      <c r="BQ57" s="136">
        <v>1078102.5482382798</v>
      </c>
      <c r="BR57" s="267">
        <v>0</v>
      </c>
      <c r="BS57" s="136">
        <v>922341.55823827977</v>
      </c>
      <c r="BT57" s="271">
        <v>4392.102658277523</v>
      </c>
      <c r="BU57" s="271">
        <v>4382.3381600961548</v>
      </c>
      <c r="BV57" s="275">
        <v>2.2281480398477524E-3</v>
      </c>
      <c r="BW57" s="275">
        <v>2.7718519601522477E-3</v>
      </c>
      <c r="BX57" s="278">
        <v>2493.7904500138338</v>
      </c>
      <c r="BY57" s="288">
        <v>1080653.4586882936</v>
      </c>
      <c r="BZ57" s="256">
        <v>-268.8</v>
      </c>
      <c r="CA57" s="263">
        <v>-2295.2999999999997</v>
      </c>
      <c r="CB57" s="296">
        <v>1078089.3586882935</v>
      </c>
      <c r="CC57" s="2"/>
      <c r="CD57" s="521">
        <f>VLOOKUP(B57,'EYSFF (Universal)'!$A$10:$AC$66,29,0)</f>
        <v>82253.34</v>
      </c>
      <c r="CE57" s="523">
        <f>VLOOKUP(B57,'EYSFF (Additional)'!$A$11:$AB$57,28,0)</f>
        <v>53552.548499999997</v>
      </c>
      <c r="CF57" s="514"/>
      <c r="CG57" s="100"/>
      <c r="CH57" s="565">
        <v>0</v>
      </c>
      <c r="CI57" s="114">
        <v>30064.333333333332</v>
      </c>
      <c r="CK57" s="111">
        <v>13095</v>
      </c>
      <c r="CL57" s="111">
        <v>335</v>
      </c>
      <c r="CM57" s="556">
        <v>0</v>
      </c>
      <c r="CN57" s="560">
        <v>7408</v>
      </c>
      <c r="CO57" s="2">
        <v>17213.142857142855</v>
      </c>
      <c r="CP57" s="571">
        <v>32447.25</v>
      </c>
      <c r="CQ57" s="547"/>
      <c r="CR57" s="544"/>
      <c r="CS57" s="114"/>
      <c r="CT57" s="2"/>
    </row>
    <row r="58" spans="1:98" ht="14" x14ac:dyDescent="0.25">
      <c r="A58" s="60">
        <v>3123401</v>
      </c>
      <c r="B58" s="145">
        <v>3401</v>
      </c>
      <c r="C58" s="211" t="s">
        <v>44</v>
      </c>
      <c r="D58" s="217">
        <v>625</v>
      </c>
      <c r="E58" s="224">
        <v>625</v>
      </c>
      <c r="F58" s="224">
        <v>0</v>
      </c>
      <c r="G58" s="224">
        <v>0</v>
      </c>
      <c r="H58" s="224">
        <v>0</v>
      </c>
      <c r="I58" s="224">
        <v>148</v>
      </c>
      <c r="J58" s="221">
        <v>0</v>
      </c>
      <c r="K58" s="214">
        <v>157</v>
      </c>
      <c r="L58" s="224">
        <v>0</v>
      </c>
      <c r="M58" s="224">
        <v>202</v>
      </c>
      <c r="N58" s="224">
        <v>225.99999999999997</v>
      </c>
      <c r="O58" s="224">
        <v>13</v>
      </c>
      <c r="P58" s="224">
        <v>4</v>
      </c>
      <c r="Q58" s="224">
        <v>1</v>
      </c>
      <c r="R58" s="224">
        <v>0</v>
      </c>
      <c r="S58" s="224">
        <v>0</v>
      </c>
      <c r="T58" s="224">
        <v>0</v>
      </c>
      <c r="U58" s="224">
        <v>0</v>
      </c>
      <c r="V58" s="224">
        <v>0</v>
      </c>
      <c r="W58" s="224">
        <v>0</v>
      </c>
      <c r="X58" s="224">
        <v>0</v>
      </c>
      <c r="Y58" s="224">
        <v>226.63551401869188</v>
      </c>
      <c r="Z58" s="224">
        <v>0</v>
      </c>
      <c r="AA58" s="224">
        <v>199.03975928631269</v>
      </c>
      <c r="AB58" s="224">
        <v>0</v>
      </c>
      <c r="AC58" s="224">
        <v>0</v>
      </c>
      <c r="AD58" s="221">
        <v>0</v>
      </c>
      <c r="AE58" s="230">
        <v>2460850</v>
      </c>
      <c r="AF58" s="128">
        <v>0</v>
      </c>
      <c r="AG58" s="233">
        <v>0</v>
      </c>
      <c r="AH58" s="240">
        <v>79805.359200000006</v>
      </c>
      <c r="AI58" s="237">
        <v>0</v>
      </c>
      <c r="AJ58" s="243">
        <v>141673.22039999999</v>
      </c>
      <c r="AK58" s="251">
        <v>0</v>
      </c>
      <c r="AL58" s="259">
        <v>52238.836199999998</v>
      </c>
      <c r="AM58" s="256">
        <v>70880.628599999996</v>
      </c>
      <c r="AN58" s="243">
        <v>6366.1611000000003</v>
      </c>
      <c r="AO58" s="129">
        <v>2134.8924000000002</v>
      </c>
      <c r="AP58" s="129">
        <v>566.73689999999999</v>
      </c>
      <c r="AQ58" s="129">
        <v>0</v>
      </c>
      <c r="AR58" s="129">
        <v>0</v>
      </c>
      <c r="AS58" s="129">
        <v>0</v>
      </c>
      <c r="AT58" s="129">
        <v>0</v>
      </c>
      <c r="AU58" s="129">
        <v>0</v>
      </c>
      <c r="AV58" s="129">
        <v>0</v>
      </c>
      <c r="AW58" s="129">
        <v>0</v>
      </c>
      <c r="AX58" s="129">
        <v>147147.9574766357</v>
      </c>
      <c r="AY58" s="129">
        <v>0</v>
      </c>
      <c r="AZ58" s="129">
        <v>256271.29339993233</v>
      </c>
      <c r="BA58" s="129">
        <v>0</v>
      </c>
      <c r="BB58" s="129">
        <v>0</v>
      </c>
      <c r="BC58" s="251">
        <v>0</v>
      </c>
      <c r="BD58" s="252"/>
      <c r="BE58" s="252">
        <v>151599.37</v>
      </c>
      <c r="BF58" s="254"/>
      <c r="BG58" s="259">
        <v>15429.12</v>
      </c>
      <c r="BH58" s="256">
        <v>755.64000000000124</v>
      </c>
      <c r="BI58" s="243"/>
      <c r="BJ58" s="129"/>
      <c r="BK58" s="129"/>
      <c r="BL58" s="251">
        <v>2460850</v>
      </c>
      <c r="BM58" s="259">
        <v>757085.08567656809</v>
      </c>
      <c r="BN58" s="259">
        <v>167784.13</v>
      </c>
      <c r="BO58" s="259">
        <v>458332.00650593633</v>
      </c>
      <c r="BP58" s="136">
        <v>3385719.215676568</v>
      </c>
      <c r="BQ58" s="136">
        <v>3385549.2156765671</v>
      </c>
      <c r="BR58" s="267">
        <v>0</v>
      </c>
      <c r="BS58" s="136">
        <v>3217765.0856765681</v>
      </c>
      <c r="BT58" s="271">
        <v>5148.4241370825093</v>
      </c>
      <c r="BU58" s="271">
        <v>5025.7787159999998</v>
      </c>
      <c r="BV58" s="275">
        <v>2.4403267237384976E-2</v>
      </c>
      <c r="BW58" s="275">
        <v>0</v>
      </c>
      <c r="BX58" s="278">
        <v>0</v>
      </c>
      <c r="BY58" s="288">
        <v>3385719.215676568</v>
      </c>
      <c r="BZ58" s="256">
        <v>-800</v>
      </c>
      <c r="CA58" s="263">
        <v>-6831.25</v>
      </c>
      <c r="CB58" s="296">
        <v>3378087.965676568</v>
      </c>
      <c r="CC58" s="2"/>
      <c r="CD58" s="521">
        <f>VLOOKUP(B58,'EYSFF (Universal)'!$A$10:$AC$66,29,0)</f>
        <v>266734.52549999999</v>
      </c>
      <c r="CE58" s="523">
        <f>VLOOKUP(B58,'EYSFF (Additional)'!$A$11:$AB$57,28,0)</f>
        <v>14901.056181818181</v>
      </c>
      <c r="CF58" s="514"/>
      <c r="CG58" s="100"/>
      <c r="CH58" s="565">
        <v>0</v>
      </c>
      <c r="CI58" s="114">
        <v>69488</v>
      </c>
      <c r="CK58" s="111">
        <v>205155</v>
      </c>
      <c r="CL58" s="111">
        <v>0</v>
      </c>
      <c r="CM58" s="556">
        <v>0</v>
      </c>
      <c r="CN58" s="560">
        <v>8900</v>
      </c>
      <c r="CO58" s="2">
        <v>53300.57142857142</v>
      </c>
      <c r="CP58" s="571">
        <v>88208.45</v>
      </c>
      <c r="CQ58" s="547"/>
      <c r="CR58" s="544"/>
      <c r="CS58" s="114"/>
      <c r="CT58" s="2"/>
    </row>
    <row r="59" spans="1:98" ht="14" x14ac:dyDescent="0.25">
      <c r="A59" s="60">
        <v>3123402</v>
      </c>
      <c r="B59" s="145">
        <v>3402</v>
      </c>
      <c r="C59" s="211" t="s">
        <v>157</v>
      </c>
      <c r="D59" s="217">
        <v>410</v>
      </c>
      <c r="E59" s="224">
        <v>410</v>
      </c>
      <c r="F59" s="224">
        <v>0</v>
      </c>
      <c r="G59" s="224">
        <v>0</v>
      </c>
      <c r="H59" s="224">
        <v>0</v>
      </c>
      <c r="I59" s="224">
        <v>40</v>
      </c>
      <c r="J59" s="221">
        <v>0</v>
      </c>
      <c r="K59" s="214">
        <v>43.000000000000078</v>
      </c>
      <c r="L59" s="224">
        <v>0</v>
      </c>
      <c r="M59" s="224">
        <v>66.999999999999815</v>
      </c>
      <c r="N59" s="224">
        <v>66.000000000000185</v>
      </c>
      <c r="O59" s="224">
        <v>6.9999999999999938</v>
      </c>
      <c r="P59" s="224">
        <v>0</v>
      </c>
      <c r="Q59" s="224">
        <v>1.9999999999999978</v>
      </c>
      <c r="R59" s="224">
        <v>0</v>
      </c>
      <c r="S59" s="224">
        <v>0</v>
      </c>
      <c r="T59" s="224">
        <v>0</v>
      </c>
      <c r="U59" s="224">
        <v>0</v>
      </c>
      <c r="V59" s="224">
        <v>0</v>
      </c>
      <c r="W59" s="224">
        <v>0</v>
      </c>
      <c r="X59" s="224">
        <v>0</v>
      </c>
      <c r="Y59" s="224">
        <v>78.48571428571411</v>
      </c>
      <c r="Z59" s="224">
        <v>0</v>
      </c>
      <c r="AA59" s="224">
        <v>76.02365769170207</v>
      </c>
      <c r="AB59" s="224">
        <v>0</v>
      </c>
      <c r="AC59" s="224">
        <v>2.4000000000000137</v>
      </c>
      <c r="AD59" s="221">
        <v>0</v>
      </c>
      <c r="AE59" s="230">
        <v>1614317.6</v>
      </c>
      <c r="AF59" s="128">
        <v>0</v>
      </c>
      <c r="AG59" s="233">
        <v>0</v>
      </c>
      <c r="AH59" s="240">
        <v>21569.016000000003</v>
      </c>
      <c r="AI59" s="237">
        <v>0</v>
      </c>
      <c r="AJ59" s="243">
        <v>38802.219600000069</v>
      </c>
      <c r="AK59" s="251">
        <v>0</v>
      </c>
      <c r="AL59" s="259">
        <v>17326.742699999952</v>
      </c>
      <c r="AM59" s="256">
        <v>20699.652600000059</v>
      </c>
      <c r="AN59" s="243">
        <v>3427.9328999999971</v>
      </c>
      <c r="AO59" s="129">
        <v>0</v>
      </c>
      <c r="AP59" s="129">
        <v>1133.4737999999986</v>
      </c>
      <c r="AQ59" s="129">
        <v>0</v>
      </c>
      <c r="AR59" s="129">
        <v>0</v>
      </c>
      <c r="AS59" s="129">
        <v>0</v>
      </c>
      <c r="AT59" s="129">
        <v>0</v>
      </c>
      <c r="AU59" s="129">
        <v>0</v>
      </c>
      <c r="AV59" s="129">
        <v>0</v>
      </c>
      <c r="AW59" s="129">
        <v>0</v>
      </c>
      <c r="AX59" s="129">
        <v>50958.529594285596</v>
      </c>
      <c r="AY59" s="129">
        <v>0</v>
      </c>
      <c r="AZ59" s="129">
        <v>97883.36338179023</v>
      </c>
      <c r="BA59" s="129">
        <v>0</v>
      </c>
      <c r="BB59" s="129">
        <v>2535.4598400000145</v>
      </c>
      <c r="BC59" s="251">
        <v>0</v>
      </c>
      <c r="BD59" s="252"/>
      <c r="BE59" s="252">
        <v>151599.37</v>
      </c>
      <c r="BF59" s="254"/>
      <c r="BG59" s="259">
        <v>5040.6400000000003</v>
      </c>
      <c r="BH59" s="256">
        <v>120.31999999999971</v>
      </c>
      <c r="BI59" s="243"/>
      <c r="BJ59" s="129"/>
      <c r="BK59" s="129"/>
      <c r="BL59" s="251">
        <v>1614317.6</v>
      </c>
      <c r="BM59" s="259">
        <v>254336.39041607591</v>
      </c>
      <c r="BN59" s="259">
        <v>156760.33000000002</v>
      </c>
      <c r="BO59" s="259">
        <v>192816.86436008284</v>
      </c>
      <c r="BP59" s="136">
        <v>2025414.3204160761</v>
      </c>
      <c r="BQ59" s="136">
        <v>2025302.8004160763</v>
      </c>
      <c r="BR59" s="267">
        <v>0</v>
      </c>
      <c r="BS59" s="136">
        <v>1868542.470416076</v>
      </c>
      <c r="BT59" s="271">
        <v>4557.4206595514052</v>
      </c>
      <c r="BU59" s="271">
        <v>4520.0628186732183</v>
      </c>
      <c r="BV59" s="275">
        <v>8.2648941788717317E-3</v>
      </c>
      <c r="BW59" s="275">
        <v>0</v>
      </c>
      <c r="BX59" s="278">
        <v>0</v>
      </c>
      <c r="BY59" s="288">
        <v>2025414.3204160761</v>
      </c>
      <c r="BZ59" s="256">
        <v>-524.79999999999995</v>
      </c>
      <c r="CA59" s="263">
        <v>-4481.3</v>
      </c>
      <c r="CB59" s="296">
        <v>2020408.220416076</v>
      </c>
      <c r="CC59" s="2"/>
      <c r="CD59" s="521">
        <f>VLOOKUP(B59,'EYSFF (Universal)'!$A$10:$AC$66,29,0)</f>
        <v>120413.09860714286</v>
      </c>
      <c r="CE59" s="523">
        <f>VLOOKUP(B59,'EYSFF (Additional)'!$A$11:$AB$57,28,0)</f>
        <v>49200.386892857139</v>
      </c>
      <c r="CF59" s="514"/>
      <c r="CG59" s="100"/>
      <c r="CH59" s="565">
        <v>0</v>
      </c>
      <c r="CI59" s="114">
        <v>77130.333333333328</v>
      </c>
      <c r="CK59" s="111">
        <v>62565</v>
      </c>
      <c r="CL59" s="111">
        <v>1340</v>
      </c>
      <c r="CM59" s="556">
        <v>5060</v>
      </c>
      <c r="CN59" s="560">
        <v>8100</v>
      </c>
      <c r="CO59" s="2">
        <v>32737.71428571429</v>
      </c>
      <c r="CP59" s="571">
        <v>58645.4</v>
      </c>
      <c r="CQ59" s="547"/>
      <c r="CR59" s="544"/>
      <c r="CS59" s="114"/>
      <c r="CT59" s="2"/>
    </row>
    <row r="60" spans="1:98" ht="14" x14ac:dyDescent="0.25">
      <c r="A60" s="60">
        <v>3123403</v>
      </c>
      <c r="B60" s="145">
        <v>3403</v>
      </c>
      <c r="C60" s="211" t="s">
        <v>167</v>
      </c>
      <c r="D60" s="217">
        <v>201</v>
      </c>
      <c r="E60" s="224">
        <v>201</v>
      </c>
      <c r="F60" s="224">
        <v>0</v>
      </c>
      <c r="G60" s="224">
        <v>0</v>
      </c>
      <c r="H60" s="224">
        <v>0</v>
      </c>
      <c r="I60" s="224">
        <v>48.000000000000057</v>
      </c>
      <c r="J60" s="221">
        <v>0</v>
      </c>
      <c r="K60" s="214">
        <v>48.000000000000057</v>
      </c>
      <c r="L60" s="224">
        <v>0</v>
      </c>
      <c r="M60" s="224">
        <v>30.999999999999993</v>
      </c>
      <c r="N60" s="224">
        <v>66.000000000000028</v>
      </c>
      <c r="O60" s="224">
        <v>19</v>
      </c>
      <c r="P60" s="224">
        <v>42.999999999999908</v>
      </c>
      <c r="Q60" s="224">
        <v>0</v>
      </c>
      <c r="R60" s="224">
        <v>0</v>
      </c>
      <c r="S60" s="224">
        <v>0</v>
      </c>
      <c r="T60" s="224">
        <v>0</v>
      </c>
      <c r="U60" s="224">
        <v>0</v>
      </c>
      <c r="V60" s="224">
        <v>0</v>
      </c>
      <c r="W60" s="224">
        <v>0</v>
      </c>
      <c r="X60" s="224">
        <v>0</v>
      </c>
      <c r="Y60" s="224">
        <v>63.410714285714192</v>
      </c>
      <c r="Z60" s="224">
        <v>0</v>
      </c>
      <c r="AA60" s="224">
        <v>65.126274922682143</v>
      </c>
      <c r="AB60" s="224">
        <v>0</v>
      </c>
      <c r="AC60" s="224">
        <v>0</v>
      </c>
      <c r="AD60" s="221">
        <v>0</v>
      </c>
      <c r="AE60" s="230">
        <v>791409.36</v>
      </c>
      <c r="AF60" s="128">
        <v>0</v>
      </c>
      <c r="AG60" s="233">
        <v>0</v>
      </c>
      <c r="AH60" s="240">
        <v>25882.819200000031</v>
      </c>
      <c r="AI60" s="237">
        <v>0</v>
      </c>
      <c r="AJ60" s="243">
        <v>43314.105600000054</v>
      </c>
      <c r="AK60" s="251">
        <v>0</v>
      </c>
      <c r="AL60" s="259">
        <v>8016.8510999999971</v>
      </c>
      <c r="AM60" s="256">
        <v>20699.652600000009</v>
      </c>
      <c r="AN60" s="243">
        <v>9304.3893000000007</v>
      </c>
      <c r="AO60" s="129">
        <v>22950.093299999953</v>
      </c>
      <c r="AP60" s="129">
        <v>0</v>
      </c>
      <c r="AQ60" s="129">
        <v>0</v>
      </c>
      <c r="AR60" s="129">
        <v>0</v>
      </c>
      <c r="AS60" s="129">
        <v>0</v>
      </c>
      <c r="AT60" s="129">
        <v>0</v>
      </c>
      <c r="AU60" s="129">
        <v>0</v>
      </c>
      <c r="AV60" s="129">
        <v>0</v>
      </c>
      <c r="AW60" s="129">
        <v>0</v>
      </c>
      <c r="AX60" s="129">
        <v>41170.763239285654</v>
      </c>
      <c r="AY60" s="129">
        <v>0</v>
      </c>
      <c r="AZ60" s="129">
        <v>83852.566786655298</v>
      </c>
      <c r="BA60" s="129">
        <v>0</v>
      </c>
      <c r="BB60" s="129">
        <v>0</v>
      </c>
      <c r="BC60" s="251">
        <v>0</v>
      </c>
      <c r="BD60" s="252"/>
      <c r="BE60" s="252">
        <v>151599.37</v>
      </c>
      <c r="BF60" s="254"/>
      <c r="BG60" s="259">
        <v>3769.6</v>
      </c>
      <c r="BH60" s="256">
        <v>344.35999999999967</v>
      </c>
      <c r="BI60" s="243"/>
      <c r="BJ60" s="129"/>
      <c r="BK60" s="129"/>
      <c r="BL60" s="251">
        <v>791409.36</v>
      </c>
      <c r="BM60" s="259">
        <v>255191.24112594099</v>
      </c>
      <c r="BN60" s="259">
        <v>155713.32999999999</v>
      </c>
      <c r="BO60" s="259">
        <v>159849.61778445597</v>
      </c>
      <c r="BP60" s="136">
        <v>1202313.931125941</v>
      </c>
      <c r="BQ60" s="136">
        <v>1202259.2591259412</v>
      </c>
      <c r="BR60" s="267">
        <v>0</v>
      </c>
      <c r="BS60" s="136">
        <v>1046545.9291259414</v>
      </c>
      <c r="BT60" s="271">
        <v>5206.6961648056786</v>
      </c>
      <c r="BU60" s="271">
        <v>5139.5477477611939</v>
      </c>
      <c r="BV60" s="275">
        <v>1.3065043918258126E-2</v>
      </c>
      <c r="BW60" s="275">
        <v>0</v>
      </c>
      <c r="BX60" s="278">
        <v>0</v>
      </c>
      <c r="BY60" s="288">
        <v>1202313.931125941</v>
      </c>
      <c r="BZ60" s="256">
        <v>-257.28000000000003</v>
      </c>
      <c r="CA60" s="263">
        <v>-2196.9299999999998</v>
      </c>
      <c r="CB60" s="296">
        <v>1199859.721125941</v>
      </c>
      <c r="CC60" s="2"/>
      <c r="CD60" s="521">
        <f>VLOOKUP(B60,'EYSFF (Universal)'!$A$10:$AC$66,29,0)</f>
        <v>73907.194000000003</v>
      </c>
      <c r="CE60" s="523">
        <f>VLOOKUP(B60,'EYSFF (Additional)'!$A$11:$AB$57,28,0)</f>
        <v>35071.508000000002</v>
      </c>
      <c r="CF60" s="514"/>
      <c r="CG60" s="100"/>
      <c r="CH60" s="565">
        <v>0</v>
      </c>
      <c r="CI60" s="114">
        <v>35484.666666666672</v>
      </c>
      <c r="CK60" s="111">
        <v>59655</v>
      </c>
      <c r="CL60" s="111">
        <v>0</v>
      </c>
      <c r="CM60" s="556">
        <v>2530</v>
      </c>
      <c r="CN60" s="560">
        <v>7396</v>
      </c>
      <c r="CO60" s="2">
        <v>18610.285714285714</v>
      </c>
      <c r="CP60" s="571">
        <v>33408.65</v>
      </c>
      <c r="CQ60" s="547"/>
      <c r="CR60" s="544"/>
      <c r="CS60" s="114"/>
      <c r="CT60" s="2"/>
    </row>
    <row r="61" spans="1:98" ht="14" x14ac:dyDescent="0.25">
      <c r="A61" s="60">
        <v>3123404</v>
      </c>
      <c r="B61" s="145">
        <v>3404</v>
      </c>
      <c r="C61" s="211" t="s">
        <v>161</v>
      </c>
      <c r="D61" s="217">
        <v>211</v>
      </c>
      <c r="E61" s="224">
        <v>211</v>
      </c>
      <c r="F61" s="224">
        <v>0</v>
      </c>
      <c r="G61" s="224">
        <v>0</v>
      </c>
      <c r="H61" s="224">
        <v>0</v>
      </c>
      <c r="I61" s="224">
        <v>26.000000000000025</v>
      </c>
      <c r="J61" s="221">
        <v>0</v>
      </c>
      <c r="K61" s="214">
        <v>26.000000000000025</v>
      </c>
      <c r="L61" s="224">
        <v>0</v>
      </c>
      <c r="M61" s="224">
        <v>24.000000000000025</v>
      </c>
      <c r="N61" s="224">
        <v>73.000000000000071</v>
      </c>
      <c r="O61" s="224">
        <v>29.000000000000028</v>
      </c>
      <c r="P61" s="224">
        <v>3.0000000000000031</v>
      </c>
      <c r="Q61" s="224">
        <v>0</v>
      </c>
      <c r="R61" s="224">
        <v>0</v>
      </c>
      <c r="S61" s="224">
        <v>0</v>
      </c>
      <c r="T61" s="224">
        <v>0</v>
      </c>
      <c r="U61" s="224">
        <v>0</v>
      </c>
      <c r="V61" s="224">
        <v>0</v>
      </c>
      <c r="W61" s="224">
        <v>0</v>
      </c>
      <c r="X61" s="224">
        <v>0</v>
      </c>
      <c r="Y61" s="224">
        <v>54.79005524861882</v>
      </c>
      <c r="Z61" s="224">
        <v>0</v>
      </c>
      <c r="AA61" s="224">
        <v>48.062266009852237</v>
      </c>
      <c r="AB61" s="224">
        <v>0</v>
      </c>
      <c r="AC61" s="224">
        <v>0</v>
      </c>
      <c r="AD61" s="221">
        <v>0</v>
      </c>
      <c r="AE61" s="230">
        <v>830782.96000000008</v>
      </c>
      <c r="AF61" s="128">
        <v>0</v>
      </c>
      <c r="AG61" s="233">
        <v>0</v>
      </c>
      <c r="AH61" s="240">
        <v>14019.860400000014</v>
      </c>
      <c r="AI61" s="237">
        <v>0</v>
      </c>
      <c r="AJ61" s="243">
        <v>23461.807200000021</v>
      </c>
      <c r="AK61" s="251">
        <v>0</v>
      </c>
      <c r="AL61" s="259">
        <v>6206.5944000000063</v>
      </c>
      <c r="AM61" s="256">
        <v>22895.070300000021</v>
      </c>
      <c r="AN61" s="243">
        <v>14201.436300000014</v>
      </c>
      <c r="AO61" s="129">
        <v>1601.1693000000018</v>
      </c>
      <c r="AP61" s="129">
        <v>0</v>
      </c>
      <c r="AQ61" s="129">
        <v>0</v>
      </c>
      <c r="AR61" s="129">
        <v>0</v>
      </c>
      <c r="AS61" s="129">
        <v>0</v>
      </c>
      <c r="AT61" s="129">
        <v>0</v>
      </c>
      <c r="AU61" s="129">
        <v>0</v>
      </c>
      <c r="AV61" s="129">
        <v>0</v>
      </c>
      <c r="AW61" s="129">
        <v>0</v>
      </c>
      <c r="AX61" s="129">
        <v>35573.615877348086</v>
      </c>
      <c r="AY61" s="129">
        <v>0</v>
      </c>
      <c r="AZ61" s="129">
        <v>61882.003466246329</v>
      </c>
      <c r="BA61" s="129">
        <v>0</v>
      </c>
      <c r="BB61" s="129">
        <v>0</v>
      </c>
      <c r="BC61" s="251">
        <v>0</v>
      </c>
      <c r="BD61" s="252"/>
      <c r="BE61" s="252">
        <v>151599.37</v>
      </c>
      <c r="BF61" s="254"/>
      <c r="BG61" s="259">
        <v>4792.32</v>
      </c>
      <c r="BH61" s="256">
        <v>413.42000000000007</v>
      </c>
      <c r="BI61" s="243"/>
      <c r="BJ61" s="129"/>
      <c r="BK61" s="129"/>
      <c r="BL61" s="251">
        <v>830782.96000000008</v>
      </c>
      <c r="BM61" s="259">
        <v>179841.55724359449</v>
      </c>
      <c r="BN61" s="259">
        <v>156805.11000000002</v>
      </c>
      <c r="BO61" s="259">
        <v>124451.18138327156</v>
      </c>
      <c r="BP61" s="136">
        <v>1167429.6272435947</v>
      </c>
      <c r="BQ61" s="136">
        <v>1167372.2352435947</v>
      </c>
      <c r="BR61" s="267">
        <v>0</v>
      </c>
      <c r="BS61" s="136">
        <v>1010567.1252435948</v>
      </c>
      <c r="BT61" s="271">
        <v>4789.4176551829132</v>
      </c>
      <c r="BU61" s="271">
        <v>4739.300342180095</v>
      </c>
      <c r="BV61" s="275">
        <v>1.0574833706311198E-2</v>
      </c>
      <c r="BW61" s="275">
        <v>0</v>
      </c>
      <c r="BX61" s="278">
        <v>0</v>
      </c>
      <c r="BY61" s="288">
        <v>1167429.6272435947</v>
      </c>
      <c r="BZ61" s="256">
        <v>-270.08</v>
      </c>
      <c r="CA61" s="263">
        <v>-2306.23</v>
      </c>
      <c r="CB61" s="296">
        <v>1164853.3172435947</v>
      </c>
      <c r="CC61" s="2"/>
      <c r="CD61" s="521">
        <f>VLOOKUP(B61,'EYSFF (Universal)'!$A$10:$AC$66,29,0)</f>
        <v>85790.682000000001</v>
      </c>
      <c r="CE61" s="523">
        <f>VLOOKUP(B61,'EYSFF (Additional)'!$A$11:$AB$57,28,0)</f>
        <v>49616.595818181821</v>
      </c>
      <c r="CF61" s="514"/>
      <c r="CG61" s="100"/>
      <c r="CH61" s="565">
        <v>0</v>
      </c>
      <c r="CI61" s="114">
        <v>43699.333333333336</v>
      </c>
      <c r="CK61" s="111">
        <v>42195</v>
      </c>
      <c r="CL61" s="111">
        <v>1675</v>
      </c>
      <c r="CM61" s="556">
        <v>12650</v>
      </c>
      <c r="CN61" s="560">
        <v>7417</v>
      </c>
      <c r="CO61" s="2">
        <v>18588</v>
      </c>
      <c r="CP61" s="571">
        <v>35571.800000000003</v>
      </c>
      <c r="CQ61" s="547"/>
      <c r="CR61" s="544"/>
      <c r="CS61" s="114"/>
      <c r="CT61" s="2"/>
    </row>
    <row r="62" spans="1:98" ht="14" x14ac:dyDescent="0.25">
      <c r="A62" s="60">
        <v>3123405</v>
      </c>
      <c r="B62" s="145">
        <v>3405</v>
      </c>
      <c r="C62" s="211" t="s">
        <v>155</v>
      </c>
      <c r="D62" s="217">
        <v>630</v>
      </c>
      <c r="E62" s="224">
        <v>630</v>
      </c>
      <c r="F62" s="224">
        <v>0</v>
      </c>
      <c r="G62" s="224">
        <v>0</v>
      </c>
      <c r="H62" s="224">
        <v>0</v>
      </c>
      <c r="I62" s="224">
        <v>36.999999999999979</v>
      </c>
      <c r="J62" s="221">
        <v>0</v>
      </c>
      <c r="K62" s="214">
        <v>36.999999999999979</v>
      </c>
      <c r="L62" s="224">
        <v>0</v>
      </c>
      <c r="M62" s="224">
        <v>42.999999999999972</v>
      </c>
      <c r="N62" s="224">
        <v>11.000000000000025</v>
      </c>
      <c r="O62" s="224">
        <v>4.0000000000000009</v>
      </c>
      <c r="P62" s="224">
        <v>1.0000000000000016</v>
      </c>
      <c r="Q62" s="224">
        <v>1.9999999999999969</v>
      </c>
      <c r="R62" s="224">
        <v>0</v>
      </c>
      <c r="S62" s="224">
        <v>0</v>
      </c>
      <c r="T62" s="224">
        <v>0</v>
      </c>
      <c r="U62" s="224">
        <v>0</v>
      </c>
      <c r="V62" s="224">
        <v>0</v>
      </c>
      <c r="W62" s="224">
        <v>0</v>
      </c>
      <c r="X62" s="224">
        <v>0</v>
      </c>
      <c r="Y62" s="224">
        <v>69.347014925373358</v>
      </c>
      <c r="Z62" s="224">
        <v>0</v>
      </c>
      <c r="AA62" s="224">
        <v>104.02400408580196</v>
      </c>
      <c r="AB62" s="224">
        <v>0</v>
      </c>
      <c r="AC62" s="224">
        <v>0</v>
      </c>
      <c r="AD62" s="221">
        <v>0</v>
      </c>
      <c r="AE62" s="230">
        <v>2480536.8000000003</v>
      </c>
      <c r="AF62" s="128">
        <v>0</v>
      </c>
      <c r="AG62" s="233">
        <v>0</v>
      </c>
      <c r="AH62" s="240">
        <v>19951.339799999991</v>
      </c>
      <c r="AI62" s="237">
        <v>0</v>
      </c>
      <c r="AJ62" s="243">
        <v>33387.956399999981</v>
      </c>
      <c r="AK62" s="251">
        <v>0</v>
      </c>
      <c r="AL62" s="259">
        <v>11120.148299999992</v>
      </c>
      <c r="AM62" s="256">
        <v>3449.9421000000079</v>
      </c>
      <c r="AN62" s="243">
        <v>1958.8188000000005</v>
      </c>
      <c r="AO62" s="129">
        <v>533.72310000000084</v>
      </c>
      <c r="AP62" s="129">
        <v>1133.4737999999982</v>
      </c>
      <c r="AQ62" s="129">
        <v>0</v>
      </c>
      <c r="AR62" s="129">
        <v>0</v>
      </c>
      <c r="AS62" s="129">
        <v>0</v>
      </c>
      <c r="AT62" s="129">
        <v>0</v>
      </c>
      <c r="AU62" s="129">
        <v>0</v>
      </c>
      <c r="AV62" s="129">
        <v>0</v>
      </c>
      <c r="AW62" s="129">
        <v>0</v>
      </c>
      <c r="AX62" s="129">
        <v>45025.033466418055</v>
      </c>
      <c r="AY62" s="129">
        <v>0</v>
      </c>
      <c r="AZ62" s="129">
        <v>133934.87897742609</v>
      </c>
      <c r="BA62" s="129">
        <v>0</v>
      </c>
      <c r="BB62" s="129">
        <v>0</v>
      </c>
      <c r="BC62" s="251">
        <v>0</v>
      </c>
      <c r="BD62" s="252"/>
      <c r="BE62" s="252">
        <v>151599.37</v>
      </c>
      <c r="BF62" s="254"/>
      <c r="BG62" s="259">
        <v>22003.52</v>
      </c>
      <c r="BH62" s="256">
        <v>1192</v>
      </c>
      <c r="BI62" s="243"/>
      <c r="BJ62" s="129"/>
      <c r="BK62" s="129"/>
      <c r="BL62" s="251">
        <v>2480536.8000000003</v>
      </c>
      <c r="BM62" s="259">
        <v>250495.31474384409</v>
      </c>
      <c r="BN62" s="259">
        <v>174794.88999999998</v>
      </c>
      <c r="BO62" s="259">
        <v>244020.11585378053</v>
      </c>
      <c r="BP62" s="136">
        <v>2905827.0047438447</v>
      </c>
      <c r="BQ62" s="136">
        <v>2927495.52</v>
      </c>
      <c r="BR62" s="267">
        <v>0</v>
      </c>
      <c r="BS62" s="136">
        <v>2752700.63</v>
      </c>
      <c r="BT62" s="271">
        <v>4369.3660793650788</v>
      </c>
      <c r="BU62" s="271">
        <v>4427.9909877192977</v>
      </c>
      <c r="BV62" s="275">
        <v>-1.3239617812414404E-2</v>
      </c>
      <c r="BW62" s="275">
        <v>1.8239617812414403E-2</v>
      </c>
      <c r="BX62" s="278">
        <v>50881.863874473667</v>
      </c>
      <c r="BY62" s="288">
        <v>2956708.8686183183</v>
      </c>
      <c r="BZ62" s="256">
        <v>-806.4</v>
      </c>
      <c r="CA62" s="263">
        <v>-6885.9</v>
      </c>
      <c r="CB62" s="296">
        <v>2949016.5686183185</v>
      </c>
      <c r="CC62" s="2"/>
      <c r="CD62" s="521">
        <f>VLOOKUP(B62,'EYSFF (Universal)'!$A$10:$AC$66,29,0)</f>
        <v>179337.234375</v>
      </c>
      <c r="CE62" s="523">
        <f>VLOOKUP(B62,'EYSFF (Additional)'!$A$11:$AB$57,28,0)</f>
        <v>8134.5065624999997</v>
      </c>
      <c r="CF62" s="514"/>
      <c r="CG62" s="100"/>
      <c r="CH62" s="565">
        <v>0</v>
      </c>
      <c r="CI62" s="114">
        <v>58680.999999999993</v>
      </c>
      <c r="CK62" s="111">
        <v>56745</v>
      </c>
      <c r="CL62" s="111">
        <v>4690</v>
      </c>
      <c r="CM62" s="556">
        <v>2530</v>
      </c>
      <c r="CN62" s="560">
        <v>8912</v>
      </c>
      <c r="CO62" s="2">
        <v>47463.428571428572</v>
      </c>
      <c r="CP62" s="571">
        <v>97582.1</v>
      </c>
      <c r="CQ62" s="547"/>
      <c r="CR62" s="544"/>
      <c r="CS62" s="114"/>
      <c r="CT62" s="2"/>
    </row>
    <row r="63" spans="1:98" ht="14" x14ac:dyDescent="0.25">
      <c r="A63" s="60">
        <v>3123410</v>
      </c>
      <c r="B63" s="145">
        <v>3410</v>
      </c>
      <c r="C63" s="211" t="s">
        <v>61</v>
      </c>
      <c r="D63" s="217">
        <v>387</v>
      </c>
      <c r="E63" s="224">
        <v>387</v>
      </c>
      <c r="F63" s="224">
        <v>0</v>
      </c>
      <c r="G63" s="224">
        <v>0</v>
      </c>
      <c r="H63" s="224">
        <v>0</v>
      </c>
      <c r="I63" s="224">
        <v>103.00000000000017</v>
      </c>
      <c r="J63" s="221">
        <v>0</v>
      </c>
      <c r="K63" s="214">
        <v>106.00000000000011</v>
      </c>
      <c r="L63" s="224">
        <v>0</v>
      </c>
      <c r="M63" s="224">
        <v>102.26424870466303</v>
      </c>
      <c r="N63" s="224">
        <v>144.37305699481871</v>
      </c>
      <c r="O63" s="224">
        <v>6.0155440414507764</v>
      </c>
      <c r="P63" s="224">
        <v>58.150259067357524</v>
      </c>
      <c r="Q63" s="224">
        <v>5.0129533678756601</v>
      </c>
      <c r="R63" s="224">
        <v>0</v>
      </c>
      <c r="S63" s="224">
        <v>0</v>
      </c>
      <c r="T63" s="224">
        <v>0</v>
      </c>
      <c r="U63" s="224">
        <v>0</v>
      </c>
      <c r="V63" s="224">
        <v>0</v>
      </c>
      <c r="W63" s="224">
        <v>0</v>
      </c>
      <c r="X63" s="224">
        <v>0</v>
      </c>
      <c r="Y63" s="224">
        <v>80.775700934579518</v>
      </c>
      <c r="Z63" s="224">
        <v>0</v>
      </c>
      <c r="AA63" s="224">
        <v>125.85790225325295</v>
      </c>
      <c r="AB63" s="224">
        <v>0</v>
      </c>
      <c r="AC63" s="224">
        <v>5.7800000000000127</v>
      </c>
      <c r="AD63" s="221">
        <v>0</v>
      </c>
      <c r="AE63" s="230">
        <v>1523758.32</v>
      </c>
      <c r="AF63" s="128">
        <v>0</v>
      </c>
      <c r="AG63" s="233">
        <v>0</v>
      </c>
      <c r="AH63" s="240">
        <v>55540.216200000097</v>
      </c>
      <c r="AI63" s="237">
        <v>0</v>
      </c>
      <c r="AJ63" s="243">
        <v>95651.983200000104</v>
      </c>
      <c r="AK63" s="251">
        <v>0</v>
      </c>
      <c r="AL63" s="259">
        <v>26446.363055440364</v>
      </c>
      <c r="AM63" s="256">
        <v>45279.880675647684</v>
      </c>
      <c r="AN63" s="243">
        <v>2945.8401901554398</v>
      </c>
      <c r="AO63" s="129">
        <v>31036.13653523317</v>
      </c>
      <c r="AP63" s="129">
        <v>2841.0256515544111</v>
      </c>
      <c r="AQ63" s="129">
        <v>0</v>
      </c>
      <c r="AR63" s="129">
        <v>0</v>
      </c>
      <c r="AS63" s="129">
        <v>0</v>
      </c>
      <c r="AT63" s="129">
        <v>0</v>
      </c>
      <c r="AU63" s="129">
        <v>0</v>
      </c>
      <c r="AV63" s="129">
        <v>0</v>
      </c>
      <c r="AW63" s="129">
        <v>0</v>
      </c>
      <c r="AX63" s="129">
        <v>52445.352431775747</v>
      </c>
      <c r="AY63" s="129">
        <v>0</v>
      </c>
      <c r="AZ63" s="129">
        <v>162046.85692292923</v>
      </c>
      <c r="BA63" s="129">
        <v>0</v>
      </c>
      <c r="BB63" s="129">
        <v>6106.2324480000143</v>
      </c>
      <c r="BC63" s="251">
        <v>0</v>
      </c>
      <c r="BD63" s="252"/>
      <c r="BE63" s="252">
        <v>151599.37</v>
      </c>
      <c r="BF63" s="254"/>
      <c r="BG63" s="259">
        <v>10704</v>
      </c>
      <c r="BH63" s="256">
        <v>0</v>
      </c>
      <c r="BI63" s="243"/>
      <c r="BJ63" s="129"/>
      <c r="BK63" s="129"/>
      <c r="BL63" s="251">
        <v>1523758.32</v>
      </c>
      <c r="BM63" s="259">
        <v>480339.88731073629</v>
      </c>
      <c r="BN63" s="259">
        <v>162303.37</v>
      </c>
      <c r="BO63" s="259">
        <v>305778.19674680755</v>
      </c>
      <c r="BP63" s="136">
        <v>2166401.5773107363</v>
      </c>
      <c r="BQ63" s="136">
        <v>2166296.3133107363</v>
      </c>
      <c r="BR63" s="267">
        <v>0</v>
      </c>
      <c r="BS63" s="136">
        <v>2003992.9433107362</v>
      </c>
      <c r="BT63" s="271">
        <v>5178.2763393042278</v>
      </c>
      <c r="BU63" s="271">
        <v>5123.2216188295151</v>
      </c>
      <c r="BV63" s="275">
        <v>1.0746113397157867E-2</v>
      </c>
      <c r="BW63" s="275">
        <v>0</v>
      </c>
      <c r="BX63" s="278">
        <v>0</v>
      </c>
      <c r="BY63" s="288">
        <v>2166401.5773107363</v>
      </c>
      <c r="BZ63" s="256">
        <v>0</v>
      </c>
      <c r="CA63" s="263">
        <v>0</v>
      </c>
      <c r="CB63" s="296">
        <v>2166401.5773107363</v>
      </c>
      <c r="CC63" s="2"/>
      <c r="CD63" s="521">
        <f>VLOOKUP(B63,'EYSFF (Universal)'!$A$10:$AC$66,29,0)</f>
        <v>85778.382375000001</v>
      </c>
      <c r="CE63" s="523">
        <f>VLOOKUP(B63,'EYSFF (Additional)'!$A$11:$AB$57,28,0)</f>
        <v>40350.578625000002</v>
      </c>
      <c r="CF63" s="514"/>
      <c r="CG63" s="100"/>
      <c r="CH63" s="565">
        <v>0</v>
      </c>
      <c r="CI63" s="114">
        <v>78308.666666666672</v>
      </c>
      <c r="CK63" s="111"/>
      <c r="CL63" s="111"/>
      <c r="CM63" s="556"/>
      <c r="CN63" s="560"/>
      <c r="CO63" s="2">
        <v>0</v>
      </c>
      <c r="CP63" s="571"/>
      <c r="CQ63" s="547"/>
      <c r="CR63" s="544"/>
      <c r="CS63" s="114"/>
      <c r="CT63" s="2"/>
    </row>
    <row r="64" spans="1:98" ht="14" x14ac:dyDescent="0.25">
      <c r="A64" s="60">
        <v>3124000</v>
      </c>
      <c r="B64" s="145">
        <v>4000</v>
      </c>
      <c r="C64" s="211" t="s">
        <v>139</v>
      </c>
      <c r="D64" s="217">
        <v>55</v>
      </c>
      <c r="E64" s="224">
        <v>0</v>
      </c>
      <c r="F64" s="224">
        <v>55</v>
      </c>
      <c r="G64" s="224">
        <v>11</v>
      </c>
      <c r="H64" s="224">
        <v>44</v>
      </c>
      <c r="I64" s="224">
        <v>0</v>
      </c>
      <c r="J64" s="221">
        <v>17.999999999999986</v>
      </c>
      <c r="K64" s="214">
        <v>0</v>
      </c>
      <c r="L64" s="224">
        <v>23.999999999999982</v>
      </c>
      <c r="M64" s="224">
        <v>0</v>
      </c>
      <c r="N64" s="224">
        <v>0</v>
      </c>
      <c r="O64" s="224">
        <v>0</v>
      </c>
      <c r="P64" s="224">
        <v>0</v>
      </c>
      <c r="Q64" s="224">
        <v>0</v>
      </c>
      <c r="R64" s="224">
        <v>0</v>
      </c>
      <c r="S64" s="224">
        <v>16.000000000000007</v>
      </c>
      <c r="T64" s="224">
        <v>22</v>
      </c>
      <c r="U64" s="224">
        <v>0</v>
      </c>
      <c r="V64" s="224">
        <v>1.0000000000000009</v>
      </c>
      <c r="W64" s="224">
        <v>2.0000000000000018</v>
      </c>
      <c r="X64" s="224">
        <v>0</v>
      </c>
      <c r="Y64" s="224">
        <v>0</v>
      </c>
      <c r="Z64" s="224">
        <v>26.000000000000014</v>
      </c>
      <c r="AA64" s="224">
        <v>0</v>
      </c>
      <c r="AB64" s="224">
        <v>14.964099330157884</v>
      </c>
      <c r="AC64" s="224">
        <v>0</v>
      </c>
      <c r="AD64" s="221">
        <v>5.7000000000000197</v>
      </c>
      <c r="AE64" s="230">
        <v>0</v>
      </c>
      <c r="AF64" s="128">
        <v>59271.850000000006</v>
      </c>
      <c r="AG64" s="233">
        <v>267254.24</v>
      </c>
      <c r="AH64" s="240">
        <v>0</v>
      </c>
      <c r="AI64" s="237">
        <v>9706.0571999999938</v>
      </c>
      <c r="AJ64" s="243">
        <v>0</v>
      </c>
      <c r="AK64" s="251">
        <v>31693.247999999974</v>
      </c>
      <c r="AL64" s="259">
        <v>0</v>
      </c>
      <c r="AM64" s="256">
        <v>0</v>
      </c>
      <c r="AN64" s="243">
        <v>0</v>
      </c>
      <c r="AO64" s="129">
        <v>0</v>
      </c>
      <c r="AP64" s="129">
        <v>0</v>
      </c>
      <c r="AQ64" s="129">
        <v>0</v>
      </c>
      <c r="AR64" s="129">
        <v>5986.502400000003</v>
      </c>
      <c r="AS64" s="129">
        <v>10894.554</v>
      </c>
      <c r="AT64" s="129">
        <v>0</v>
      </c>
      <c r="AU64" s="129">
        <v>759.3174000000007</v>
      </c>
      <c r="AV64" s="129">
        <v>1628.6808000000015</v>
      </c>
      <c r="AW64" s="129">
        <v>0</v>
      </c>
      <c r="AX64" s="129">
        <v>0</v>
      </c>
      <c r="AY64" s="129">
        <v>45349.956600000027</v>
      </c>
      <c r="AZ64" s="129">
        <v>0</v>
      </c>
      <c r="BA64" s="129">
        <v>29229.622129236341</v>
      </c>
      <c r="BB64" s="129">
        <v>0</v>
      </c>
      <c r="BC64" s="129">
        <v>8656.2183600000299</v>
      </c>
      <c r="BD64" s="127"/>
      <c r="BE64" s="127"/>
      <c r="BF64" s="251">
        <v>144204.28</v>
      </c>
      <c r="BG64" s="259">
        <v>0</v>
      </c>
      <c r="BH64" s="256">
        <v>0</v>
      </c>
      <c r="BI64" s="243"/>
      <c r="BJ64" s="129"/>
      <c r="BK64" s="129"/>
      <c r="BL64" s="251">
        <v>326526.08999999997</v>
      </c>
      <c r="BM64" s="259">
        <v>143904.15688923639</v>
      </c>
      <c r="BN64" s="259">
        <v>144204.28</v>
      </c>
      <c r="BO64" s="259">
        <v>52118.978112681427</v>
      </c>
      <c r="BP64" s="136">
        <v>614634.52688923641</v>
      </c>
      <c r="BQ64" s="136">
        <v>0</v>
      </c>
      <c r="BR64" s="267">
        <v>614634.52688923629</v>
      </c>
      <c r="BS64" s="136">
        <v>470430.24688923638</v>
      </c>
      <c r="BT64" s="271">
        <v>8553.277216167935</v>
      </c>
      <c r="BU64" s="271">
        <v>8508.2485694444458</v>
      </c>
      <c r="BV64" s="275">
        <v>5.2923520458957787E-3</v>
      </c>
      <c r="BW64" s="275">
        <v>0</v>
      </c>
      <c r="BX64" s="278">
        <v>0</v>
      </c>
      <c r="BY64" s="288">
        <v>614634.52688923641</v>
      </c>
      <c r="BZ64" s="256">
        <v>0</v>
      </c>
      <c r="CA64" s="263">
        <v>0</v>
      </c>
      <c r="CB64" s="296">
        <v>614634.52688923641</v>
      </c>
      <c r="CC64" s="2"/>
      <c r="CD64" s="521"/>
      <c r="CE64" s="523"/>
      <c r="CF64" s="514"/>
      <c r="CG64" s="100"/>
      <c r="CH64" s="565">
        <v>0</v>
      </c>
      <c r="CI64" s="114">
        <v>29680.533333333333</v>
      </c>
      <c r="CK64" s="111"/>
      <c r="CL64" s="111"/>
      <c r="CM64" s="556"/>
      <c r="CN64" s="560"/>
      <c r="CO64" s="2">
        <v>0</v>
      </c>
      <c r="CP64" s="571"/>
      <c r="CQ64" s="547"/>
      <c r="CR64" s="544"/>
      <c r="CS64" s="114"/>
      <c r="CT64" s="2"/>
    </row>
    <row r="65" spans="1:98" ht="14" x14ac:dyDescent="0.25">
      <c r="A65" s="60">
        <v>3124009</v>
      </c>
      <c r="B65" s="145">
        <v>4009</v>
      </c>
      <c r="C65" s="211" t="s">
        <v>65</v>
      </c>
      <c r="D65" s="217">
        <v>136</v>
      </c>
      <c r="E65" s="224">
        <v>0</v>
      </c>
      <c r="F65" s="224">
        <v>136</v>
      </c>
      <c r="G65" s="224">
        <v>36</v>
      </c>
      <c r="H65" s="224">
        <v>100</v>
      </c>
      <c r="I65" s="224">
        <v>0</v>
      </c>
      <c r="J65" s="221">
        <v>22.000000000000007</v>
      </c>
      <c r="K65" s="214">
        <v>0</v>
      </c>
      <c r="L65" s="224">
        <v>40.000000000000064</v>
      </c>
      <c r="M65" s="224">
        <v>0</v>
      </c>
      <c r="N65" s="224">
        <v>0</v>
      </c>
      <c r="O65" s="224">
        <v>0</v>
      </c>
      <c r="P65" s="224">
        <v>0</v>
      </c>
      <c r="Q65" s="224">
        <v>0</v>
      </c>
      <c r="R65" s="224">
        <v>0</v>
      </c>
      <c r="S65" s="224">
        <v>37.999999999999957</v>
      </c>
      <c r="T65" s="224">
        <v>30.00000000000005</v>
      </c>
      <c r="U65" s="224">
        <v>3.0000000000000049</v>
      </c>
      <c r="V65" s="224">
        <v>0</v>
      </c>
      <c r="W65" s="224">
        <v>4.0000000000000062</v>
      </c>
      <c r="X65" s="224">
        <v>0</v>
      </c>
      <c r="Y65" s="224">
        <v>0</v>
      </c>
      <c r="Z65" s="224">
        <v>29.214814814814844</v>
      </c>
      <c r="AA65" s="224">
        <v>0</v>
      </c>
      <c r="AB65" s="224">
        <v>26.859792770148182</v>
      </c>
      <c r="AC65" s="224">
        <v>0</v>
      </c>
      <c r="AD65" s="221">
        <v>0</v>
      </c>
      <c r="AE65" s="230">
        <v>0</v>
      </c>
      <c r="AF65" s="128">
        <v>193980.6</v>
      </c>
      <c r="AG65" s="233">
        <v>607396</v>
      </c>
      <c r="AH65" s="240">
        <v>0</v>
      </c>
      <c r="AI65" s="237">
        <v>11862.958800000004</v>
      </c>
      <c r="AJ65" s="243">
        <v>0</v>
      </c>
      <c r="AK65" s="251">
        <v>52822.080000000082</v>
      </c>
      <c r="AL65" s="259">
        <v>0</v>
      </c>
      <c r="AM65" s="256">
        <v>0</v>
      </c>
      <c r="AN65" s="243">
        <v>0</v>
      </c>
      <c r="AO65" s="129">
        <v>0</v>
      </c>
      <c r="AP65" s="129">
        <v>0</v>
      </c>
      <c r="AQ65" s="129">
        <v>0</v>
      </c>
      <c r="AR65" s="129">
        <v>14217.943199999985</v>
      </c>
      <c r="AS65" s="129">
        <v>14856.210000000025</v>
      </c>
      <c r="AT65" s="129">
        <v>2079.8694000000032</v>
      </c>
      <c r="AU65" s="129">
        <v>0</v>
      </c>
      <c r="AV65" s="129">
        <v>3257.3616000000052</v>
      </c>
      <c r="AW65" s="129">
        <v>0</v>
      </c>
      <c r="AX65" s="129">
        <v>0</v>
      </c>
      <c r="AY65" s="129">
        <v>50957.330151111164</v>
      </c>
      <c r="AZ65" s="129">
        <v>0</v>
      </c>
      <c r="BA65" s="129">
        <v>52465.676404511149</v>
      </c>
      <c r="BB65" s="129">
        <v>0</v>
      </c>
      <c r="BC65" s="129">
        <v>0</v>
      </c>
      <c r="BD65" s="129"/>
      <c r="BE65" s="129"/>
      <c r="BF65" s="251">
        <v>144204.28</v>
      </c>
      <c r="BG65" s="259">
        <v>0</v>
      </c>
      <c r="BH65" s="256">
        <v>0</v>
      </c>
      <c r="BI65" s="243"/>
      <c r="BJ65" s="129"/>
      <c r="BK65" s="129"/>
      <c r="BL65" s="251">
        <v>801376.6</v>
      </c>
      <c r="BM65" s="259">
        <v>202519.4295556224</v>
      </c>
      <c r="BN65" s="259">
        <v>144204.28</v>
      </c>
      <c r="BO65" s="259">
        <v>92895.505995654064</v>
      </c>
      <c r="BP65" s="136">
        <v>1148100.3095556223</v>
      </c>
      <c r="BQ65" s="136">
        <v>0</v>
      </c>
      <c r="BR65" s="267">
        <v>1148100.3095556225</v>
      </c>
      <c r="BS65" s="136">
        <v>1003896.0295556223</v>
      </c>
      <c r="BT65" s="271">
        <v>7381.5884526148693</v>
      </c>
      <c r="BU65" s="271">
        <v>7356.0807371428573</v>
      </c>
      <c r="BV65" s="275">
        <v>3.4675687208293696E-3</v>
      </c>
      <c r="BW65" s="275">
        <v>1.5324312791706305E-3</v>
      </c>
      <c r="BX65" s="278">
        <v>1533.0855970635077</v>
      </c>
      <c r="BY65" s="288">
        <v>1149633.3951526857</v>
      </c>
      <c r="BZ65" s="256">
        <v>0</v>
      </c>
      <c r="CA65" s="263">
        <v>0</v>
      </c>
      <c r="CB65" s="296">
        <v>1149633.3951526857</v>
      </c>
      <c r="CC65" s="2"/>
      <c r="CD65" s="521"/>
      <c r="CE65" s="523"/>
      <c r="CF65" s="514"/>
      <c r="CG65" s="100"/>
      <c r="CH65" s="565">
        <v>0</v>
      </c>
      <c r="CI65" s="114">
        <v>0</v>
      </c>
      <c r="CK65" s="111"/>
      <c r="CL65" s="111"/>
      <c r="CM65" s="556"/>
      <c r="CN65" s="560"/>
      <c r="CO65" s="2">
        <v>0</v>
      </c>
      <c r="CP65" s="571"/>
      <c r="CQ65" s="547"/>
      <c r="CR65" s="544"/>
      <c r="CS65" s="114"/>
      <c r="CT65" s="2"/>
    </row>
    <row r="66" spans="1:98" ht="14" x14ac:dyDescent="0.25">
      <c r="A66" s="60">
        <v>3124014</v>
      </c>
      <c r="B66" s="145">
        <v>4014</v>
      </c>
      <c r="C66" s="211" t="s">
        <v>174</v>
      </c>
      <c r="D66" s="217">
        <v>142</v>
      </c>
      <c r="E66" s="224">
        <v>0</v>
      </c>
      <c r="F66" s="224">
        <v>142</v>
      </c>
      <c r="G66" s="224">
        <v>0</v>
      </c>
      <c r="H66" s="224">
        <v>142</v>
      </c>
      <c r="I66" s="224">
        <v>0</v>
      </c>
      <c r="J66" s="221">
        <v>40.999999999999979</v>
      </c>
      <c r="K66" s="214">
        <v>0</v>
      </c>
      <c r="L66" s="224">
        <v>46</v>
      </c>
      <c r="M66" s="224">
        <v>0</v>
      </c>
      <c r="N66" s="224">
        <v>0</v>
      </c>
      <c r="O66" s="224">
        <v>0</v>
      </c>
      <c r="P66" s="224">
        <v>0</v>
      </c>
      <c r="Q66" s="224">
        <v>0</v>
      </c>
      <c r="R66" s="224">
        <v>0</v>
      </c>
      <c r="S66" s="224">
        <v>35.000000000000057</v>
      </c>
      <c r="T66" s="224">
        <v>27.000000000000068</v>
      </c>
      <c r="U66" s="224">
        <v>9.9999999999999982</v>
      </c>
      <c r="V66" s="224">
        <v>3.0000000000000022</v>
      </c>
      <c r="W66" s="224">
        <v>0.99999999999999989</v>
      </c>
      <c r="X66" s="224">
        <v>0</v>
      </c>
      <c r="Y66" s="224">
        <v>0</v>
      </c>
      <c r="Z66" s="224">
        <v>3.0000000000000022</v>
      </c>
      <c r="AA66" s="224">
        <v>0</v>
      </c>
      <c r="AB66" s="224">
        <v>26.949567729411804</v>
      </c>
      <c r="AC66" s="224">
        <v>0</v>
      </c>
      <c r="AD66" s="221">
        <v>0</v>
      </c>
      <c r="AE66" s="230">
        <v>0</v>
      </c>
      <c r="AF66" s="128">
        <v>0</v>
      </c>
      <c r="AG66" s="233">
        <v>862502.32</v>
      </c>
      <c r="AH66" s="240">
        <v>0</v>
      </c>
      <c r="AI66" s="237">
        <v>22108.241399999992</v>
      </c>
      <c r="AJ66" s="243">
        <v>0</v>
      </c>
      <c r="AK66" s="251">
        <v>60745.391999999993</v>
      </c>
      <c r="AL66" s="259">
        <v>0</v>
      </c>
      <c r="AM66" s="256">
        <v>0</v>
      </c>
      <c r="AN66" s="243">
        <v>0</v>
      </c>
      <c r="AO66" s="129">
        <v>0</v>
      </c>
      <c r="AP66" s="129">
        <v>0</v>
      </c>
      <c r="AQ66" s="129">
        <v>0</v>
      </c>
      <c r="AR66" s="129">
        <v>13095.474000000022</v>
      </c>
      <c r="AS66" s="129">
        <v>13370.589000000033</v>
      </c>
      <c r="AT66" s="129">
        <v>6932.8979999999992</v>
      </c>
      <c r="AU66" s="129">
        <v>2277.9522000000015</v>
      </c>
      <c r="AV66" s="129">
        <v>814.34039999999993</v>
      </c>
      <c r="AW66" s="129">
        <v>0</v>
      </c>
      <c r="AX66" s="129">
        <v>0</v>
      </c>
      <c r="AY66" s="129">
        <v>5232.6873000000041</v>
      </c>
      <c r="AZ66" s="129">
        <v>0</v>
      </c>
      <c r="BA66" s="129">
        <v>52641.035313727611</v>
      </c>
      <c r="BB66" s="129">
        <v>0</v>
      </c>
      <c r="BC66" s="129">
        <v>0</v>
      </c>
      <c r="BD66" s="129"/>
      <c r="BE66" s="129"/>
      <c r="BF66" s="251">
        <v>144204.28</v>
      </c>
      <c r="BG66" s="259">
        <v>45966</v>
      </c>
      <c r="BH66" s="256">
        <v>0</v>
      </c>
      <c r="BI66" s="243"/>
      <c r="BJ66" s="129"/>
      <c r="BK66" s="129"/>
      <c r="BL66" s="251">
        <v>862502.32</v>
      </c>
      <c r="BM66" s="259">
        <v>177218.60961372766</v>
      </c>
      <c r="BN66" s="259">
        <v>190170.28</v>
      </c>
      <c r="BO66" s="259">
        <v>97844.519948119385</v>
      </c>
      <c r="BP66" s="136">
        <v>1229891.2096137276</v>
      </c>
      <c r="BQ66" s="136">
        <v>0</v>
      </c>
      <c r="BR66" s="267">
        <v>1229891.2096137276</v>
      </c>
      <c r="BS66" s="136">
        <v>1039720.9296137276</v>
      </c>
      <c r="BT66" s="271">
        <v>7321.9783775614624</v>
      </c>
      <c r="BU66" s="271">
        <v>7395.5468984251975</v>
      </c>
      <c r="BV66" s="275">
        <v>-9.947678227745501E-3</v>
      </c>
      <c r="BW66" s="275">
        <v>1.4947678227745502E-2</v>
      </c>
      <c r="BX66" s="278">
        <v>15697.568260532276</v>
      </c>
      <c r="BY66" s="288">
        <v>1245588.77787426</v>
      </c>
      <c r="BZ66" s="256">
        <v>0</v>
      </c>
      <c r="CA66" s="263">
        <v>0</v>
      </c>
      <c r="CB66" s="296">
        <v>1245588.77787426</v>
      </c>
      <c r="CC66" s="2"/>
      <c r="CD66" s="521"/>
      <c r="CE66" s="523"/>
      <c r="CF66" s="514"/>
      <c r="CG66" s="100"/>
      <c r="CH66" s="565">
        <v>0</v>
      </c>
      <c r="CI66" s="114">
        <v>22792.333333333332</v>
      </c>
      <c r="CK66" s="111"/>
      <c r="CL66" s="111"/>
      <c r="CM66" s="556"/>
      <c r="CN66" s="560"/>
      <c r="CO66" s="2">
        <v>0</v>
      </c>
      <c r="CP66" s="571"/>
      <c r="CQ66" s="547"/>
      <c r="CR66" s="544"/>
      <c r="CS66" s="114"/>
      <c r="CT66" s="2"/>
    </row>
    <row r="67" spans="1:98" ht="14" x14ac:dyDescent="0.25">
      <c r="A67" s="60">
        <v>3124021</v>
      </c>
      <c r="B67" s="145">
        <v>4021</v>
      </c>
      <c r="C67" s="211" t="s">
        <v>137</v>
      </c>
      <c r="D67" s="217">
        <v>802</v>
      </c>
      <c r="E67" s="224">
        <v>0</v>
      </c>
      <c r="F67" s="224">
        <v>802</v>
      </c>
      <c r="G67" s="224">
        <v>511</v>
      </c>
      <c r="H67" s="224">
        <v>291</v>
      </c>
      <c r="I67" s="224">
        <v>0</v>
      </c>
      <c r="J67" s="221">
        <v>278.99999999999972</v>
      </c>
      <c r="K67" s="214">
        <v>0</v>
      </c>
      <c r="L67" s="224">
        <v>368.99999999999966</v>
      </c>
      <c r="M67" s="224">
        <v>0</v>
      </c>
      <c r="N67" s="224">
        <v>0</v>
      </c>
      <c r="O67" s="224">
        <v>0</v>
      </c>
      <c r="P67" s="224">
        <v>0</v>
      </c>
      <c r="Q67" s="224">
        <v>0</v>
      </c>
      <c r="R67" s="224">
        <v>0</v>
      </c>
      <c r="S67" s="224">
        <v>230.99999999999969</v>
      </c>
      <c r="T67" s="224">
        <v>330.00000000000034</v>
      </c>
      <c r="U67" s="224">
        <v>83.000000000000099</v>
      </c>
      <c r="V67" s="224">
        <v>35.000000000000021</v>
      </c>
      <c r="W67" s="224">
        <v>1.9999999999999978</v>
      </c>
      <c r="X67" s="224">
        <v>0</v>
      </c>
      <c r="Y67" s="224">
        <v>0</v>
      </c>
      <c r="Z67" s="224">
        <v>65.000000000000028</v>
      </c>
      <c r="AA67" s="224">
        <v>0</v>
      </c>
      <c r="AB67" s="224">
        <v>262.57975070452619</v>
      </c>
      <c r="AC67" s="224">
        <v>0</v>
      </c>
      <c r="AD67" s="221">
        <v>4.0752440550688274</v>
      </c>
      <c r="AE67" s="230">
        <v>0</v>
      </c>
      <c r="AF67" s="128">
        <v>2753446.85</v>
      </c>
      <c r="AG67" s="233">
        <v>1767522.36</v>
      </c>
      <c r="AH67" s="240">
        <v>0</v>
      </c>
      <c r="AI67" s="237">
        <v>150443.88659999985</v>
      </c>
      <c r="AJ67" s="243">
        <v>0</v>
      </c>
      <c r="AK67" s="251">
        <v>487283.6879999995</v>
      </c>
      <c r="AL67" s="259">
        <v>0</v>
      </c>
      <c r="AM67" s="256">
        <v>0</v>
      </c>
      <c r="AN67" s="243">
        <v>0</v>
      </c>
      <c r="AO67" s="129">
        <v>0</v>
      </c>
      <c r="AP67" s="129">
        <v>0</v>
      </c>
      <c r="AQ67" s="129">
        <v>0</v>
      </c>
      <c r="AR67" s="129">
        <v>86430.128399999885</v>
      </c>
      <c r="AS67" s="129">
        <v>163418.31000000017</v>
      </c>
      <c r="AT67" s="129">
        <v>57543.05340000007</v>
      </c>
      <c r="AU67" s="129">
        <v>26576.109000000019</v>
      </c>
      <c r="AV67" s="129">
        <v>1628.6807999999983</v>
      </c>
      <c r="AW67" s="129">
        <v>0</v>
      </c>
      <c r="AX67" s="129">
        <v>0</v>
      </c>
      <c r="AY67" s="129">
        <v>113374.89150000006</v>
      </c>
      <c r="AZ67" s="129">
        <v>0</v>
      </c>
      <c r="BA67" s="129">
        <v>512901.35961703758</v>
      </c>
      <c r="BB67" s="129">
        <v>0</v>
      </c>
      <c r="BC67" s="129">
        <v>6188.807440520638</v>
      </c>
      <c r="BD67" s="129"/>
      <c r="BE67" s="129"/>
      <c r="BF67" s="251">
        <v>144204.28</v>
      </c>
      <c r="BG67" s="259">
        <v>55310</v>
      </c>
      <c r="BH67" s="256">
        <v>0</v>
      </c>
      <c r="BI67" s="243"/>
      <c r="BJ67" s="129"/>
      <c r="BK67" s="129"/>
      <c r="BL67" s="251">
        <v>4520969.21</v>
      </c>
      <c r="BM67" s="259">
        <v>1605788.9147575581</v>
      </c>
      <c r="BN67" s="259">
        <v>199514.28</v>
      </c>
      <c r="BO67" s="259">
        <v>802447.17237987835</v>
      </c>
      <c r="BP67" s="136">
        <v>6326272.4047575584</v>
      </c>
      <c r="BQ67" s="136">
        <v>0</v>
      </c>
      <c r="BR67" s="267">
        <v>6326272.4047575574</v>
      </c>
      <c r="BS67" s="136">
        <v>6126758.1247575581</v>
      </c>
      <c r="BT67" s="271">
        <v>7639.3492827400978</v>
      </c>
      <c r="BU67" s="271">
        <v>7452.199583794466</v>
      </c>
      <c r="BV67" s="275">
        <v>2.5113350339221602E-2</v>
      </c>
      <c r="BW67" s="275">
        <v>0</v>
      </c>
      <c r="BX67" s="278">
        <v>0</v>
      </c>
      <c r="BY67" s="288">
        <v>6326272.4047575584</v>
      </c>
      <c r="BZ67" s="256">
        <v>0</v>
      </c>
      <c r="CA67" s="263">
        <v>0</v>
      </c>
      <c r="CB67" s="296">
        <v>6326272.4047575584</v>
      </c>
      <c r="CC67" s="2"/>
      <c r="CD67" s="521"/>
      <c r="CE67" s="523"/>
      <c r="CF67" s="514"/>
      <c r="CG67" s="100"/>
      <c r="CH67" s="565">
        <v>0</v>
      </c>
      <c r="CI67" s="114">
        <v>274046.66666666663</v>
      </c>
      <c r="CK67" s="111"/>
      <c r="CL67" s="111"/>
      <c r="CM67" s="556"/>
      <c r="CN67" s="560"/>
      <c r="CO67" s="2">
        <v>0</v>
      </c>
      <c r="CP67" s="571"/>
      <c r="CQ67" s="547"/>
      <c r="CR67" s="544"/>
      <c r="CS67" s="114"/>
      <c r="CT67" s="2"/>
    </row>
    <row r="68" spans="1:98" ht="14" x14ac:dyDescent="0.25">
      <c r="A68" s="60">
        <v>3124023</v>
      </c>
      <c r="B68" s="145">
        <v>4023</v>
      </c>
      <c r="C68" s="211" t="s">
        <v>152</v>
      </c>
      <c r="D68" s="217">
        <v>1050</v>
      </c>
      <c r="E68" s="224">
        <v>0</v>
      </c>
      <c r="F68" s="224">
        <v>1050</v>
      </c>
      <c r="G68" s="224">
        <v>633</v>
      </c>
      <c r="H68" s="224">
        <v>417</v>
      </c>
      <c r="I68" s="224">
        <v>0</v>
      </c>
      <c r="J68" s="221">
        <v>160.99999999999963</v>
      </c>
      <c r="K68" s="214">
        <v>0</v>
      </c>
      <c r="L68" s="224">
        <v>212.00000000000011</v>
      </c>
      <c r="M68" s="224">
        <v>0</v>
      </c>
      <c r="N68" s="224">
        <v>0</v>
      </c>
      <c r="O68" s="224">
        <v>0</v>
      </c>
      <c r="P68" s="224">
        <v>0</v>
      </c>
      <c r="Q68" s="224">
        <v>0</v>
      </c>
      <c r="R68" s="224">
        <v>0</v>
      </c>
      <c r="S68" s="224">
        <v>84.080076263107685</v>
      </c>
      <c r="T68" s="224">
        <v>25.023832221163019</v>
      </c>
      <c r="U68" s="224">
        <v>3.0028598665395645</v>
      </c>
      <c r="V68" s="224">
        <v>1.0009532888465209</v>
      </c>
      <c r="W68" s="224">
        <v>2.0019065776930396</v>
      </c>
      <c r="X68" s="224">
        <v>0</v>
      </c>
      <c r="Y68" s="224">
        <v>0</v>
      </c>
      <c r="Z68" s="224">
        <v>32.999999999999972</v>
      </c>
      <c r="AA68" s="224">
        <v>0</v>
      </c>
      <c r="AB68" s="224">
        <v>193.41686316768647</v>
      </c>
      <c r="AC68" s="224">
        <v>0</v>
      </c>
      <c r="AD68" s="221">
        <v>0</v>
      </c>
      <c r="AE68" s="230">
        <v>0</v>
      </c>
      <c r="AF68" s="128">
        <v>3410825.5500000003</v>
      </c>
      <c r="AG68" s="233">
        <v>2532841.3199999998</v>
      </c>
      <c r="AH68" s="240">
        <v>0</v>
      </c>
      <c r="AI68" s="237">
        <v>86815.289399999805</v>
      </c>
      <c r="AJ68" s="243">
        <v>0</v>
      </c>
      <c r="AK68" s="251">
        <v>279957.02400000015</v>
      </c>
      <c r="AL68" s="259">
        <v>0</v>
      </c>
      <c r="AM68" s="256">
        <v>0</v>
      </c>
      <c r="AN68" s="243">
        <v>0</v>
      </c>
      <c r="AO68" s="129">
        <v>0</v>
      </c>
      <c r="AP68" s="129">
        <v>0</v>
      </c>
      <c r="AQ68" s="129">
        <v>0</v>
      </c>
      <c r="AR68" s="129">
        <v>31459.098646329825</v>
      </c>
      <c r="AS68" s="129">
        <v>12391.976882745475</v>
      </c>
      <c r="AT68" s="129">
        <v>2081.8521163012415</v>
      </c>
      <c r="AU68" s="129">
        <v>760.04124880838924</v>
      </c>
      <c r="AV68" s="129">
        <v>1630.2334032411811</v>
      </c>
      <c r="AW68" s="129">
        <v>0</v>
      </c>
      <c r="AX68" s="129">
        <v>0</v>
      </c>
      <c r="AY68" s="129">
        <v>57559.560299999954</v>
      </c>
      <c r="AZ68" s="129">
        <v>0</v>
      </c>
      <c r="BA68" s="129">
        <v>377804.35020368424</v>
      </c>
      <c r="BB68" s="129">
        <v>0</v>
      </c>
      <c r="BC68" s="129">
        <v>0</v>
      </c>
      <c r="BD68" s="129"/>
      <c r="BE68" s="129"/>
      <c r="BF68" s="251">
        <v>144204.28</v>
      </c>
      <c r="BG68" s="259">
        <v>23884</v>
      </c>
      <c r="BH68" s="256">
        <v>0</v>
      </c>
      <c r="BI68" s="243"/>
      <c r="BJ68" s="129"/>
      <c r="BK68" s="129"/>
      <c r="BL68" s="251">
        <v>5943666.8700000001</v>
      </c>
      <c r="BM68" s="259">
        <v>850459.42620111024</v>
      </c>
      <c r="BN68" s="259">
        <v>168088.28</v>
      </c>
      <c r="BO68" s="259">
        <v>556648.40709610924</v>
      </c>
      <c r="BP68" s="136">
        <v>6962214.5762011101</v>
      </c>
      <c r="BQ68" s="136">
        <v>0</v>
      </c>
      <c r="BR68" s="267">
        <v>6962214.576201112</v>
      </c>
      <c r="BS68" s="136">
        <v>6794126.2962011099</v>
      </c>
      <c r="BT68" s="271">
        <v>6470.5964725724853</v>
      </c>
      <c r="BU68" s="271">
        <v>6409.7493728880163</v>
      </c>
      <c r="BV68" s="275">
        <v>9.4928984184374302E-3</v>
      </c>
      <c r="BW68" s="275">
        <v>0</v>
      </c>
      <c r="BX68" s="278">
        <v>0</v>
      </c>
      <c r="BY68" s="288">
        <v>6962214.5762011101</v>
      </c>
      <c r="BZ68" s="256">
        <v>0</v>
      </c>
      <c r="CA68" s="263">
        <v>0</v>
      </c>
      <c r="CB68" s="296">
        <v>6962214.5762011101</v>
      </c>
      <c r="CC68" s="2"/>
      <c r="CD68" s="521"/>
      <c r="CE68" s="523"/>
      <c r="CF68" s="514"/>
      <c r="CG68" s="100"/>
      <c r="CH68" s="565">
        <v>0</v>
      </c>
      <c r="CI68" s="114">
        <v>436118.00000000012</v>
      </c>
      <c r="CK68" s="111"/>
      <c r="CL68" s="111"/>
      <c r="CM68" s="556"/>
      <c r="CN68" s="560"/>
      <c r="CO68" s="2">
        <v>0</v>
      </c>
      <c r="CP68" s="571"/>
      <c r="CQ68" s="547"/>
      <c r="CR68" s="544"/>
      <c r="CS68" s="114"/>
      <c r="CT68" s="2"/>
    </row>
    <row r="69" spans="1:98" ht="14" x14ac:dyDescent="0.25">
      <c r="A69" s="60">
        <v>3124024</v>
      </c>
      <c r="B69" s="145">
        <v>4024</v>
      </c>
      <c r="C69" s="211" t="s">
        <v>98</v>
      </c>
      <c r="D69" s="217">
        <v>93</v>
      </c>
      <c r="E69" s="224">
        <v>0</v>
      </c>
      <c r="F69" s="224">
        <v>93</v>
      </c>
      <c r="G69" s="224">
        <v>0</v>
      </c>
      <c r="H69" s="224">
        <v>93</v>
      </c>
      <c r="I69" s="224">
        <v>0</v>
      </c>
      <c r="J69" s="221">
        <v>37.999999999999964</v>
      </c>
      <c r="K69" s="214">
        <v>0</v>
      </c>
      <c r="L69" s="224">
        <v>40.999999999999957</v>
      </c>
      <c r="M69" s="224">
        <v>0</v>
      </c>
      <c r="N69" s="224">
        <v>0</v>
      </c>
      <c r="O69" s="224">
        <v>0</v>
      </c>
      <c r="P69" s="224">
        <v>0</v>
      </c>
      <c r="Q69" s="224">
        <v>0</v>
      </c>
      <c r="R69" s="224">
        <v>0</v>
      </c>
      <c r="S69" s="224">
        <v>16.999999999999982</v>
      </c>
      <c r="T69" s="224">
        <v>12.999999999999986</v>
      </c>
      <c r="U69" s="224">
        <v>7.0000000000000027</v>
      </c>
      <c r="V69" s="224">
        <v>1.999999999999998</v>
      </c>
      <c r="W69" s="224">
        <v>0.999999999999999</v>
      </c>
      <c r="X69" s="224">
        <v>0</v>
      </c>
      <c r="Y69" s="224">
        <v>0</v>
      </c>
      <c r="Z69" s="224">
        <v>1.999999999999998</v>
      </c>
      <c r="AA69" s="224">
        <v>0</v>
      </c>
      <c r="AB69" s="224">
        <v>24.004093848</v>
      </c>
      <c r="AC69" s="224">
        <v>0</v>
      </c>
      <c r="AD69" s="221">
        <v>0</v>
      </c>
      <c r="AE69" s="230">
        <v>0</v>
      </c>
      <c r="AF69" s="128">
        <v>0</v>
      </c>
      <c r="AG69" s="233">
        <v>564878.28</v>
      </c>
      <c r="AH69" s="240">
        <v>0</v>
      </c>
      <c r="AI69" s="237">
        <v>20490.565199999983</v>
      </c>
      <c r="AJ69" s="243">
        <v>0</v>
      </c>
      <c r="AK69" s="251">
        <v>54142.63199999994</v>
      </c>
      <c r="AL69" s="259">
        <v>0</v>
      </c>
      <c r="AM69" s="256">
        <v>0</v>
      </c>
      <c r="AN69" s="243">
        <v>0</v>
      </c>
      <c r="AO69" s="129">
        <v>0</v>
      </c>
      <c r="AP69" s="129">
        <v>0</v>
      </c>
      <c r="AQ69" s="129">
        <v>0</v>
      </c>
      <c r="AR69" s="129">
        <v>6360.6587999999938</v>
      </c>
      <c r="AS69" s="129">
        <v>6437.6909999999925</v>
      </c>
      <c r="AT69" s="129">
        <v>4853.0286000000024</v>
      </c>
      <c r="AU69" s="129">
        <v>1518.6347999999984</v>
      </c>
      <c r="AV69" s="129">
        <v>814.34039999999925</v>
      </c>
      <c r="AW69" s="129">
        <v>0</v>
      </c>
      <c r="AX69" s="129">
        <v>0</v>
      </c>
      <c r="AY69" s="129">
        <v>3488.4581999999964</v>
      </c>
      <c r="AZ69" s="129">
        <v>0</v>
      </c>
      <c r="BA69" s="129">
        <v>46887.592580846889</v>
      </c>
      <c r="BB69" s="129">
        <v>0</v>
      </c>
      <c r="BC69" s="129">
        <v>0</v>
      </c>
      <c r="BD69" s="129"/>
      <c r="BE69" s="129"/>
      <c r="BF69" s="251">
        <v>144204.28</v>
      </c>
      <c r="BG69" s="259">
        <v>32072</v>
      </c>
      <c r="BH69" s="256">
        <v>0</v>
      </c>
      <c r="BI69" s="243"/>
      <c r="BJ69" s="129"/>
      <c r="BK69" s="129"/>
      <c r="BL69" s="251">
        <v>564878.28</v>
      </c>
      <c r="BM69" s="259">
        <v>144993.60158084679</v>
      </c>
      <c r="BN69" s="259">
        <v>176276.28</v>
      </c>
      <c r="BO69" s="259">
        <v>78481.594014485949</v>
      </c>
      <c r="BP69" s="136">
        <v>886148.16158084688</v>
      </c>
      <c r="BQ69" s="136">
        <v>0</v>
      </c>
      <c r="BR69" s="267">
        <v>886148.16158084676</v>
      </c>
      <c r="BS69" s="136">
        <v>709871.88158084685</v>
      </c>
      <c r="BT69" s="271">
        <v>7633.0309847402887</v>
      </c>
      <c r="BU69" s="271">
        <v>7803.302126582279</v>
      </c>
      <c r="BV69" s="275">
        <v>-2.1820395914436595E-2</v>
      </c>
      <c r="BW69" s="275">
        <v>2.6820395914436596E-2</v>
      </c>
      <c r="BX69" s="278">
        <v>19463.751680165864</v>
      </c>
      <c r="BY69" s="288">
        <v>905611.91326101276</v>
      </c>
      <c r="BZ69" s="256">
        <v>0</v>
      </c>
      <c r="CA69" s="263">
        <v>0</v>
      </c>
      <c r="CB69" s="296">
        <v>905611.91326101276</v>
      </c>
      <c r="CC69" s="2"/>
      <c r="CD69" s="521"/>
      <c r="CE69" s="523"/>
      <c r="CF69" s="514"/>
      <c r="CG69" s="100"/>
      <c r="CH69" s="565">
        <v>0</v>
      </c>
      <c r="CI69" s="114">
        <v>55684.666666666672</v>
      </c>
      <c r="CK69" s="111"/>
      <c r="CL69" s="111"/>
      <c r="CM69" s="556"/>
      <c r="CN69" s="560"/>
      <c r="CO69" s="2">
        <v>0</v>
      </c>
      <c r="CP69" s="571"/>
      <c r="CQ69" s="547"/>
      <c r="CR69" s="544"/>
      <c r="CS69" s="114"/>
      <c r="CT69" s="2"/>
    </row>
    <row r="70" spans="1:98" ht="14" x14ac:dyDescent="0.25">
      <c r="A70" s="60">
        <v>3124600</v>
      </c>
      <c r="B70" s="145">
        <v>4600</v>
      </c>
      <c r="C70" s="211" t="s">
        <v>40</v>
      </c>
      <c r="D70" s="217">
        <v>987</v>
      </c>
      <c r="E70" s="224">
        <v>0</v>
      </c>
      <c r="F70" s="224">
        <v>987</v>
      </c>
      <c r="G70" s="224">
        <v>587</v>
      </c>
      <c r="H70" s="224">
        <v>400</v>
      </c>
      <c r="I70" s="224">
        <v>0</v>
      </c>
      <c r="J70" s="221">
        <v>99.999999999999673</v>
      </c>
      <c r="K70" s="214">
        <v>0</v>
      </c>
      <c r="L70" s="224">
        <v>119.00000000000017</v>
      </c>
      <c r="M70" s="224">
        <v>0</v>
      </c>
      <c r="N70" s="224">
        <v>0</v>
      </c>
      <c r="O70" s="224">
        <v>0</v>
      </c>
      <c r="P70" s="224">
        <v>0</v>
      </c>
      <c r="Q70" s="224">
        <v>0</v>
      </c>
      <c r="R70" s="224">
        <v>0</v>
      </c>
      <c r="S70" s="224">
        <v>132.99999999999963</v>
      </c>
      <c r="T70" s="224">
        <v>93.000000000000043</v>
      </c>
      <c r="U70" s="224">
        <v>28.999999999999982</v>
      </c>
      <c r="V70" s="224">
        <v>0.99999999999999667</v>
      </c>
      <c r="W70" s="224">
        <v>3</v>
      </c>
      <c r="X70" s="224">
        <v>0</v>
      </c>
      <c r="Y70" s="224">
        <v>0</v>
      </c>
      <c r="Z70" s="224">
        <v>12.012170385395512</v>
      </c>
      <c r="AA70" s="224">
        <v>0</v>
      </c>
      <c r="AB70" s="224">
        <v>129.01909173337006</v>
      </c>
      <c r="AC70" s="224">
        <v>0</v>
      </c>
      <c r="AD70" s="221">
        <v>0</v>
      </c>
      <c r="AE70" s="230">
        <v>0</v>
      </c>
      <c r="AF70" s="128">
        <v>3162961.45</v>
      </c>
      <c r="AG70" s="233">
        <v>2429584</v>
      </c>
      <c r="AH70" s="240">
        <v>0</v>
      </c>
      <c r="AI70" s="237">
        <v>53922.539999999826</v>
      </c>
      <c r="AJ70" s="243">
        <v>0</v>
      </c>
      <c r="AK70" s="251">
        <v>157145.68800000023</v>
      </c>
      <c r="AL70" s="259">
        <v>0</v>
      </c>
      <c r="AM70" s="256">
        <v>0</v>
      </c>
      <c r="AN70" s="243">
        <v>0</v>
      </c>
      <c r="AO70" s="129">
        <v>0</v>
      </c>
      <c r="AP70" s="129">
        <v>0</v>
      </c>
      <c r="AQ70" s="129">
        <v>0</v>
      </c>
      <c r="AR70" s="129">
        <v>49762.801199999863</v>
      </c>
      <c r="AS70" s="129">
        <v>46054.251000000018</v>
      </c>
      <c r="AT70" s="129">
        <v>20105.404199999986</v>
      </c>
      <c r="AU70" s="129">
        <v>759.31739999999752</v>
      </c>
      <c r="AV70" s="129">
        <v>2443.0212000000001</v>
      </c>
      <c r="AW70" s="129">
        <v>0</v>
      </c>
      <c r="AX70" s="129">
        <v>0</v>
      </c>
      <c r="AY70" s="129">
        <v>20951.977140365067</v>
      </c>
      <c r="AZ70" s="129">
        <v>0</v>
      </c>
      <c r="BA70" s="129">
        <v>252015.12069780534</v>
      </c>
      <c r="BB70" s="129">
        <v>0</v>
      </c>
      <c r="BC70" s="129">
        <v>0</v>
      </c>
      <c r="BD70" s="129"/>
      <c r="BE70" s="129"/>
      <c r="BF70" s="251">
        <v>144204.28</v>
      </c>
      <c r="BG70" s="259">
        <v>27072</v>
      </c>
      <c r="BH70" s="256">
        <v>0</v>
      </c>
      <c r="BI70" s="243"/>
      <c r="BJ70" s="129"/>
      <c r="BK70" s="129"/>
      <c r="BL70" s="251">
        <v>5592545.4500000002</v>
      </c>
      <c r="BM70" s="259">
        <v>603160.12083817029</v>
      </c>
      <c r="BN70" s="259">
        <v>171276.28</v>
      </c>
      <c r="BO70" s="259">
        <v>429000.02581522235</v>
      </c>
      <c r="BP70" s="136">
        <v>6366981.8508381704</v>
      </c>
      <c r="BQ70" s="136">
        <v>0</v>
      </c>
      <c r="BR70" s="267">
        <v>6366981.8508381713</v>
      </c>
      <c r="BS70" s="136">
        <v>6195705.5708381701</v>
      </c>
      <c r="BT70" s="271">
        <v>6277.3106087519454</v>
      </c>
      <c r="BU70" s="271">
        <v>6149.1923751016247</v>
      </c>
      <c r="BV70" s="275">
        <v>2.0834969185397022E-2</v>
      </c>
      <c r="BW70" s="275">
        <v>0</v>
      </c>
      <c r="BX70" s="278">
        <v>0</v>
      </c>
      <c r="BY70" s="288">
        <v>6366981.8508381704</v>
      </c>
      <c r="BZ70" s="256">
        <v>0</v>
      </c>
      <c r="CA70" s="263">
        <v>0</v>
      </c>
      <c r="CB70" s="296">
        <v>6366981.8508381704</v>
      </c>
      <c r="CC70" s="2"/>
      <c r="CD70" s="521"/>
      <c r="CE70" s="523"/>
      <c r="CF70" s="514"/>
      <c r="CG70" s="100"/>
      <c r="CH70" s="565">
        <v>0</v>
      </c>
      <c r="CI70" s="114">
        <v>99956.333333333328</v>
      </c>
      <c r="CK70" s="111"/>
      <c r="CL70" s="111"/>
      <c r="CM70" s="556"/>
      <c r="CN70" s="560"/>
      <c r="CO70" s="2">
        <v>0</v>
      </c>
      <c r="CP70" s="571"/>
      <c r="CQ70" s="547"/>
      <c r="CR70" s="544"/>
      <c r="CS70" s="114"/>
      <c r="CT70" s="2"/>
    </row>
    <row r="71" spans="1:98" ht="14" x14ac:dyDescent="0.25">
      <c r="A71" s="60">
        <v>3124654</v>
      </c>
      <c r="B71" s="145">
        <v>4654</v>
      </c>
      <c r="C71" s="211" t="s">
        <v>83</v>
      </c>
      <c r="D71" s="217">
        <v>1367</v>
      </c>
      <c r="E71" s="224">
        <v>412</v>
      </c>
      <c r="F71" s="224">
        <v>955</v>
      </c>
      <c r="G71" s="224">
        <v>595</v>
      </c>
      <c r="H71" s="224">
        <v>360</v>
      </c>
      <c r="I71" s="224">
        <v>33.000000000000007</v>
      </c>
      <c r="J71" s="221">
        <v>154.0000000000002</v>
      </c>
      <c r="K71" s="214">
        <v>35.999999999999993</v>
      </c>
      <c r="L71" s="224">
        <v>172.00000000000017</v>
      </c>
      <c r="M71" s="224">
        <v>133.0000000000002</v>
      </c>
      <c r="N71" s="224">
        <v>62.00000000000005</v>
      </c>
      <c r="O71" s="224">
        <v>10.000000000000011</v>
      </c>
      <c r="P71" s="224">
        <v>4</v>
      </c>
      <c r="Q71" s="224">
        <v>10.000000000000011</v>
      </c>
      <c r="R71" s="224">
        <v>0</v>
      </c>
      <c r="S71" s="224">
        <v>269.99999999999977</v>
      </c>
      <c r="T71" s="224">
        <v>174.99999999999972</v>
      </c>
      <c r="U71" s="224">
        <v>13.000000000000021</v>
      </c>
      <c r="V71" s="224">
        <v>11.999999999999991</v>
      </c>
      <c r="W71" s="224">
        <v>20.000000000000046</v>
      </c>
      <c r="X71" s="224">
        <v>0</v>
      </c>
      <c r="Y71" s="224">
        <v>138.49717514124274</v>
      </c>
      <c r="Z71" s="224">
        <v>35.999999999999972</v>
      </c>
      <c r="AA71" s="224">
        <v>95.592496414446671</v>
      </c>
      <c r="AB71" s="224">
        <v>165.12308328130464</v>
      </c>
      <c r="AC71" s="224">
        <v>0</v>
      </c>
      <c r="AD71" s="221">
        <v>0</v>
      </c>
      <c r="AE71" s="230">
        <v>1622192.32</v>
      </c>
      <c r="AF71" s="128">
        <v>3206068.25</v>
      </c>
      <c r="AG71" s="233">
        <v>2186625.6</v>
      </c>
      <c r="AH71" s="240">
        <v>17794.438200000004</v>
      </c>
      <c r="AI71" s="237">
        <v>83040.711600000112</v>
      </c>
      <c r="AJ71" s="243">
        <v>32485.579199999993</v>
      </c>
      <c r="AK71" s="251">
        <v>227134.94400000022</v>
      </c>
      <c r="AL71" s="259">
        <v>34394.877300000051</v>
      </c>
      <c r="AM71" s="256">
        <v>19445.128200000017</v>
      </c>
      <c r="AN71" s="243">
        <v>4897.047000000005</v>
      </c>
      <c r="AO71" s="129">
        <v>2134.8924000000002</v>
      </c>
      <c r="AP71" s="129">
        <v>5667.3690000000061</v>
      </c>
      <c r="AQ71" s="129">
        <v>0</v>
      </c>
      <c r="AR71" s="129">
        <v>101022.22799999992</v>
      </c>
      <c r="AS71" s="129">
        <v>86661.22499999986</v>
      </c>
      <c r="AT71" s="129">
        <v>9012.7674000000152</v>
      </c>
      <c r="AU71" s="129">
        <v>9111.8087999999934</v>
      </c>
      <c r="AV71" s="129">
        <v>16286.808000000039</v>
      </c>
      <c r="AW71" s="129">
        <v>0</v>
      </c>
      <c r="AX71" s="129">
        <v>89922.254799999864</v>
      </c>
      <c r="AY71" s="129">
        <v>62792.247599999951</v>
      </c>
      <c r="AZ71" s="129">
        <v>123078.99076696312</v>
      </c>
      <c r="BA71" s="129">
        <v>322537.64310424647</v>
      </c>
      <c r="BB71" s="129">
        <v>0</v>
      </c>
      <c r="BC71" s="129">
        <v>0</v>
      </c>
      <c r="BD71" s="129"/>
      <c r="BE71" s="129"/>
      <c r="BF71" s="251">
        <v>144204.28</v>
      </c>
      <c r="BG71" s="259">
        <v>90804</v>
      </c>
      <c r="BH71" s="256">
        <v>0</v>
      </c>
      <c r="BI71" s="243"/>
      <c r="BJ71" s="129"/>
      <c r="BK71" s="129"/>
      <c r="BL71" s="251">
        <v>7014886.1699999999</v>
      </c>
      <c r="BM71" s="259">
        <v>1247420.9603712098</v>
      </c>
      <c r="BN71" s="259">
        <v>235008.28</v>
      </c>
      <c r="BO71" s="259">
        <v>758987.22028838506</v>
      </c>
      <c r="BP71" s="136">
        <v>8497315.4103712086</v>
      </c>
      <c r="BQ71" s="136">
        <v>2022729.9560271678</v>
      </c>
      <c r="BR71" s="267">
        <v>6474473.3903440423</v>
      </c>
      <c r="BS71" s="136">
        <v>8262195.066371209</v>
      </c>
      <c r="BT71" s="271">
        <v>6044.0344304105402</v>
      </c>
      <c r="BU71" s="271">
        <v>5927.3161991459065</v>
      </c>
      <c r="BV71" s="275">
        <v>1.969158171137422E-2</v>
      </c>
      <c r="BW71" s="275">
        <v>0</v>
      </c>
      <c r="BX71" s="278">
        <v>0</v>
      </c>
      <c r="BY71" s="288">
        <v>8497315.4103712086</v>
      </c>
      <c r="BZ71" s="256">
        <v>0</v>
      </c>
      <c r="CA71" s="263">
        <v>0</v>
      </c>
      <c r="CB71" s="296">
        <v>8497315.4103712086</v>
      </c>
      <c r="CC71" s="2"/>
      <c r="CD71" s="521"/>
      <c r="CE71" s="523"/>
      <c r="CF71" s="514"/>
      <c r="CG71" s="100"/>
      <c r="CH71" s="565">
        <v>0</v>
      </c>
      <c r="CI71" s="114">
        <v>154361.66666666666</v>
      </c>
      <c r="CK71" s="111"/>
      <c r="CL71" s="111"/>
      <c r="CM71" s="556"/>
      <c r="CN71" s="560"/>
      <c r="CO71" s="2">
        <v>0</v>
      </c>
      <c r="CP71" s="571"/>
      <c r="CQ71" s="547"/>
      <c r="CR71" s="544"/>
      <c r="CS71" s="114"/>
      <c r="CT71" s="2"/>
    </row>
    <row r="72" spans="1:98" ht="14" x14ac:dyDescent="0.25">
      <c r="A72" s="60">
        <v>3125200</v>
      </c>
      <c r="B72" s="145">
        <v>5200</v>
      </c>
      <c r="C72" s="211" t="s">
        <v>134</v>
      </c>
      <c r="D72" s="217">
        <v>541</v>
      </c>
      <c r="E72" s="224">
        <v>541</v>
      </c>
      <c r="F72" s="224">
        <v>0</v>
      </c>
      <c r="G72" s="224">
        <v>0</v>
      </c>
      <c r="H72" s="224">
        <v>0</v>
      </c>
      <c r="I72" s="224">
        <v>75.999999999999801</v>
      </c>
      <c r="J72" s="221">
        <v>0</v>
      </c>
      <c r="K72" s="214">
        <v>77.999999999999986</v>
      </c>
      <c r="L72" s="224">
        <v>0</v>
      </c>
      <c r="M72" s="224">
        <v>36.066666666666684</v>
      </c>
      <c r="N72" s="224">
        <v>25.046296296296298</v>
      </c>
      <c r="O72" s="224">
        <v>0</v>
      </c>
      <c r="P72" s="224">
        <v>2.0037037037037018</v>
      </c>
      <c r="Q72" s="224">
        <v>0</v>
      </c>
      <c r="R72" s="224">
        <v>0</v>
      </c>
      <c r="S72" s="224">
        <v>0</v>
      </c>
      <c r="T72" s="224">
        <v>0</v>
      </c>
      <c r="U72" s="224">
        <v>0</v>
      </c>
      <c r="V72" s="224">
        <v>0</v>
      </c>
      <c r="W72" s="224">
        <v>0</v>
      </c>
      <c r="X72" s="224">
        <v>0</v>
      </c>
      <c r="Y72" s="224">
        <v>183.38983050847477</v>
      </c>
      <c r="Z72" s="224">
        <v>0</v>
      </c>
      <c r="AA72" s="224">
        <v>151.32227812177513</v>
      </c>
      <c r="AB72" s="224">
        <v>0</v>
      </c>
      <c r="AC72" s="224">
        <v>0</v>
      </c>
      <c r="AD72" s="221">
        <v>0</v>
      </c>
      <c r="AE72" s="230">
        <v>2130111.7600000002</v>
      </c>
      <c r="AF72" s="128">
        <v>0</v>
      </c>
      <c r="AG72" s="233">
        <v>0</v>
      </c>
      <c r="AH72" s="240">
        <v>40981.130399999893</v>
      </c>
      <c r="AI72" s="237">
        <v>0</v>
      </c>
      <c r="AJ72" s="243">
        <v>70385.421599999987</v>
      </c>
      <c r="AK72" s="251">
        <v>0</v>
      </c>
      <c r="AL72" s="259">
        <v>9327.1321400000033</v>
      </c>
      <c r="AM72" s="256">
        <v>7855.2974583333335</v>
      </c>
      <c r="AN72" s="243">
        <v>0</v>
      </c>
      <c r="AO72" s="129">
        <v>1069.4229522222213</v>
      </c>
      <c r="AP72" s="129">
        <v>0</v>
      </c>
      <c r="AQ72" s="129">
        <v>0</v>
      </c>
      <c r="AR72" s="129">
        <v>0</v>
      </c>
      <c r="AS72" s="129">
        <v>0</v>
      </c>
      <c r="AT72" s="129">
        <v>0</v>
      </c>
      <c r="AU72" s="129">
        <v>0</v>
      </c>
      <c r="AV72" s="129">
        <v>0</v>
      </c>
      <c r="AW72" s="129">
        <v>0</v>
      </c>
      <c r="AX72" s="129">
        <v>119069.77200000013</v>
      </c>
      <c r="AY72" s="129">
        <v>0</v>
      </c>
      <c r="AZ72" s="129">
        <v>194833.21359280971</v>
      </c>
      <c r="BA72" s="129">
        <v>0</v>
      </c>
      <c r="BB72" s="129">
        <v>0</v>
      </c>
      <c r="BC72" s="129">
        <v>0</v>
      </c>
      <c r="BD72" s="252"/>
      <c r="BE72" s="252">
        <v>151599.37</v>
      </c>
      <c r="BF72" s="251"/>
      <c r="BG72" s="259">
        <v>12704.16</v>
      </c>
      <c r="BH72" s="256">
        <v>2085.6000000000004</v>
      </c>
      <c r="BI72" s="243"/>
      <c r="BJ72" s="129"/>
      <c r="BK72" s="129"/>
      <c r="BL72" s="251">
        <v>2130111.7600000002</v>
      </c>
      <c r="BM72" s="259">
        <v>443521.39014336525</v>
      </c>
      <c r="BN72" s="259">
        <v>166389.13</v>
      </c>
      <c r="BO72" s="259">
        <v>305323.19419499114</v>
      </c>
      <c r="BP72" s="136">
        <v>2740022.2801433653</v>
      </c>
      <c r="BQ72" s="136">
        <v>2739875.128143365</v>
      </c>
      <c r="BR72" s="267">
        <v>0</v>
      </c>
      <c r="BS72" s="136">
        <v>2573485.9981433651</v>
      </c>
      <c r="BT72" s="271">
        <v>4756.9057266975324</v>
      </c>
      <c r="BU72" s="271">
        <v>4718.198277454545</v>
      </c>
      <c r="BV72" s="275">
        <v>8.203862357363664E-3</v>
      </c>
      <c r="BW72" s="275">
        <v>0</v>
      </c>
      <c r="BX72" s="278">
        <v>0</v>
      </c>
      <c r="BY72" s="288">
        <v>2740022.2801433653</v>
      </c>
      <c r="BZ72" s="256">
        <v>-692.48</v>
      </c>
      <c r="CA72" s="263">
        <v>-5913.13</v>
      </c>
      <c r="CB72" s="296">
        <v>2733416.6701433654</v>
      </c>
      <c r="CC72" s="2"/>
      <c r="CD72" s="521">
        <f>VLOOKUP(B72,'EYSFF (Universal)'!$A$10:$AC$66,29,0)</f>
        <v>155583.58028571427</v>
      </c>
      <c r="CE72" s="523">
        <f>VLOOKUP(B72,'EYSFF (Additional)'!$A$11:$AB$57,28,0)</f>
        <v>46118.898457142859</v>
      </c>
      <c r="CF72" s="514"/>
      <c r="CG72" s="100"/>
      <c r="CH72" s="565">
        <v>0</v>
      </c>
      <c r="CI72" s="114">
        <v>197185.66666666666</v>
      </c>
      <c r="CK72" s="111">
        <v>123675</v>
      </c>
      <c r="CL72" s="111">
        <v>0</v>
      </c>
      <c r="CM72" s="556">
        <v>0</v>
      </c>
      <c r="CN72" s="560">
        <v>8671</v>
      </c>
      <c r="CO72" s="2">
        <v>44862.857142857145</v>
      </c>
      <c r="CP72" s="571">
        <v>84362.85</v>
      </c>
      <c r="CQ72" s="547">
        <v>10835.95</v>
      </c>
      <c r="CR72" s="544"/>
      <c r="CS72" s="114"/>
      <c r="CT72" s="2"/>
    </row>
    <row r="73" spans="1:98" ht="14" x14ac:dyDescent="0.25">
      <c r="A73" s="60">
        <v>3125202</v>
      </c>
      <c r="B73" s="145">
        <v>5202</v>
      </c>
      <c r="C73" s="211" t="s">
        <v>81</v>
      </c>
      <c r="D73" s="217">
        <v>380</v>
      </c>
      <c r="E73" s="224">
        <v>380</v>
      </c>
      <c r="F73" s="224">
        <v>0</v>
      </c>
      <c r="G73" s="224">
        <v>0</v>
      </c>
      <c r="H73" s="224">
        <v>0</v>
      </c>
      <c r="I73" s="224">
        <v>76.999999999999844</v>
      </c>
      <c r="J73" s="221">
        <v>0</v>
      </c>
      <c r="K73" s="214">
        <v>85.999999999999915</v>
      </c>
      <c r="L73" s="224">
        <v>0</v>
      </c>
      <c r="M73" s="224">
        <v>97.000000000000071</v>
      </c>
      <c r="N73" s="224">
        <v>38.999999999999844</v>
      </c>
      <c r="O73" s="224">
        <v>15.999999999999986</v>
      </c>
      <c r="P73" s="224">
        <v>0</v>
      </c>
      <c r="Q73" s="224">
        <v>0.99999999999999967</v>
      </c>
      <c r="R73" s="224">
        <v>0</v>
      </c>
      <c r="S73" s="224">
        <v>0</v>
      </c>
      <c r="T73" s="224">
        <v>0</v>
      </c>
      <c r="U73" s="224">
        <v>0</v>
      </c>
      <c r="V73" s="224">
        <v>0</v>
      </c>
      <c r="W73" s="224">
        <v>0</v>
      </c>
      <c r="X73" s="224">
        <v>0</v>
      </c>
      <c r="Y73" s="224">
        <v>84.893617021276597</v>
      </c>
      <c r="Z73" s="224">
        <v>0</v>
      </c>
      <c r="AA73" s="224">
        <v>119.335263785509</v>
      </c>
      <c r="AB73" s="224">
        <v>0</v>
      </c>
      <c r="AC73" s="224">
        <v>0</v>
      </c>
      <c r="AD73" s="221">
        <v>0</v>
      </c>
      <c r="AE73" s="230">
        <v>1496196.8</v>
      </c>
      <c r="AF73" s="128">
        <v>0</v>
      </c>
      <c r="AG73" s="233">
        <v>0</v>
      </c>
      <c r="AH73" s="240">
        <v>41520.355799999918</v>
      </c>
      <c r="AI73" s="237">
        <v>0</v>
      </c>
      <c r="AJ73" s="243">
        <v>77604.439199999921</v>
      </c>
      <c r="AK73" s="251">
        <v>0</v>
      </c>
      <c r="AL73" s="259">
        <v>25084.985700000016</v>
      </c>
      <c r="AM73" s="256">
        <v>12231.612899999951</v>
      </c>
      <c r="AN73" s="243">
        <v>7835.2751999999928</v>
      </c>
      <c r="AO73" s="129">
        <v>0</v>
      </c>
      <c r="AP73" s="129">
        <v>566.73689999999976</v>
      </c>
      <c r="AQ73" s="129">
        <v>0</v>
      </c>
      <c r="AR73" s="129">
        <v>0</v>
      </c>
      <c r="AS73" s="129">
        <v>0</v>
      </c>
      <c r="AT73" s="129">
        <v>0</v>
      </c>
      <c r="AU73" s="129">
        <v>0</v>
      </c>
      <c r="AV73" s="129">
        <v>0</v>
      </c>
      <c r="AW73" s="129">
        <v>0</v>
      </c>
      <c r="AX73" s="129">
        <v>55118.9975744681</v>
      </c>
      <c r="AY73" s="129">
        <v>0</v>
      </c>
      <c r="AZ73" s="129">
        <v>153648.71073091927</v>
      </c>
      <c r="BA73" s="129">
        <v>0</v>
      </c>
      <c r="BB73" s="129">
        <v>0</v>
      </c>
      <c r="BC73" s="129">
        <v>0</v>
      </c>
      <c r="BD73" s="252"/>
      <c r="BE73" s="252">
        <v>151599.37</v>
      </c>
      <c r="BF73" s="251"/>
      <c r="BG73" s="259">
        <v>8246</v>
      </c>
      <c r="BH73" s="256">
        <v>-1968.3999999999996</v>
      </c>
      <c r="BI73" s="243"/>
      <c r="BJ73" s="129"/>
      <c r="BK73" s="129"/>
      <c r="BL73" s="251">
        <v>1496196.8</v>
      </c>
      <c r="BM73" s="259">
        <v>373611.11400538718</v>
      </c>
      <c r="BN73" s="259">
        <v>157876.97</v>
      </c>
      <c r="BO73" s="259">
        <v>259397.42203206406</v>
      </c>
      <c r="BP73" s="136">
        <v>2027684.8840053871</v>
      </c>
      <c r="BQ73" s="136">
        <v>2027581.5240053877</v>
      </c>
      <c r="BR73" s="267">
        <v>0</v>
      </c>
      <c r="BS73" s="136">
        <v>1869704.5540053872</v>
      </c>
      <c r="BT73" s="271">
        <v>4920.2751421194398</v>
      </c>
      <c r="BU73" s="271">
        <v>5042.4040408212568</v>
      </c>
      <c r="BV73" s="275">
        <v>-2.422037141671135E-2</v>
      </c>
      <c r="BW73" s="275">
        <v>2.9220371416711351E-2</v>
      </c>
      <c r="BX73" s="278">
        <v>55886.18918425087</v>
      </c>
      <c r="BY73" s="288">
        <v>2083571.0731896379</v>
      </c>
      <c r="BZ73" s="256">
        <v>-486.40000000000003</v>
      </c>
      <c r="CA73" s="263">
        <v>-4153.3999999999996</v>
      </c>
      <c r="CB73" s="296">
        <v>2078931.273189638</v>
      </c>
      <c r="CC73" s="2"/>
      <c r="CD73" s="521"/>
      <c r="CE73" s="523"/>
      <c r="CF73" s="514"/>
      <c r="CG73" s="100"/>
      <c r="CH73" s="565">
        <v>0</v>
      </c>
      <c r="CI73" s="114">
        <v>32185.333333333332</v>
      </c>
      <c r="CK73" s="111">
        <v>158595</v>
      </c>
      <c r="CL73" s="111">
        <v>0</v>
      </c>
      <c r="CM73" s="556">
        <v>5060</v>
      </c>
      <c r="CN73" s="560">
        <v>8358</v>
      </c>
      <c r="CO73" s="2">
        <v>36961.71428571429</v>
      </c>
      <c r="CP73" s="571"/>
      <c r="CQ73" s="547">
        <v>8488.75</v>
      </c>
      <c r="CR73" s="544"/>
      <c r="CS73" s="114"/>
      <c r="CT73" s="2"/>
    </row>
    <row r="74" spans="1:98" ht="14" x14ac:dyDescent="0.25">
      <c r="A74" s="60">
        <v>3125203</v>
      </c>
      <c r="B74" s="145">
        <v>5203</v>
      </c>
      <c r="C74" s="211" t="s">
        <v>79</v>
      </c>
      <c r="D74" s="217">
        <v>254</v>
      </c>
      <c r="E74" s="224">
        <v>254</v>
      </c>
      <c r="F74" s="224">
        <v>0</v>
      </c>
      <c r="G74" s="224">
        <v>0</v>
      </c>
      <c r="H74" s="224">
        <v>0</v>
      </c>
      <c r="I74" s="224">
        <v>37.000000000000085</v>
      </c>
      <c r="J74" s="221">
        <v>0</v>
      </c>
      <c r="K74" s="214">
        <v>38.999999999999957</v>
      </c>
      <c r="L74" s="224">
        <v>0</v>
      </c>
      <c r="M74" s="224">
        <v>65.999999999999915</v>
      </c>
      <c r="N74" s="224">
        <v>22.999999999999996</v>
      </c>
      <c r="O74" s="224">
        <v>6.0000000000000027</v>
      </c>
      <c r="P74" s="224">
        <v>0</v>
      </c>
      <c r="Q74" s="224">
        <v>2.9999999999999889</v>
      </c>
      <c r="R74" s="224">
        <v>0</v>
      </c>
      <c r="S74" s="224">
        <v>0</v>
      </c>
      <c r="T74" s="224">
        <v>0</v>
      </c>
      <c r="U74" s="224">
        <v>0</v>
      </c>
      <c r="V74" s="224">
        <v>0</v>
      </c>
      <c r="W74" s="224">
        <v>0</v>
      </c>
      <c r="X74" s="224">
        <v>0</v>
      </c>
      <c r="Y74" s="224">
        <v>209.085365853659</v>
      </c>
      <c r="Z74" s="224">
        <v>0</v>
      </c>
      <c r="AA74" s="224">
        <v>90.834437086092706</v>
      </c>
      <c r="AB74" s="224">
        <v>0</v>
      </c>
      <c r="AC74" s="224">
        <v>0</v>
      </c>
      <c r="AD74" s="221">
        <v>0</v>
      </c>
      <c r="AE74" s="230">
        <v>1000089.4400000001</v>
      </c>
      <c r="AF74" s="128">
        <v>0</v>
      </c>
      <c r="AG74" s="233">
        <v>0</v>
      </c>
      <c r="AH74" s="240">
        <v>19951.339800000049</v>
      </c>
      <c r="AI74" s="237">
        <v>0</v>
      </c>
      <c r="AJ74" s="243">
        <v>35192.710799999964</v>
      </c>
      <c r="AK74" s="251">
        <v>0</v>
      </c>
      <c r="AL74" s="259">
        <v>17068.134599999976</v>
      </c>
      <c r="AM74" s="256">
        <v>7213.5152999999991</v>
      </c>
      <c r="AN74" s="243">
        <v>2938.2282000000014</v>
      </c>
      <c r="AO74" s="129">
        <v>0</v>
      </c>
      <c r="AP74" s="129">
        <v>1700.2106999999937</v>
      </c>
      <c r="AQ74" s="129">
        <v>0</v>
      </c>
      <c r="AR74" s="129">
        <v>0</v>
      </c>
      <c r="AS74" s="129">
        <v>0</v>
      </c>
      <c r="AT74" s="129">
        <v>0</v>
      </c>
      <c r="AU74" s="129">
        <v>0</v>
      </c>
      <c r="AV74" s="129">
        <v>0</v>
      </c>
      <c r="AW74" s="129">
        <v>0</v>
      </c>
      <c r="AX74" s="129">
        <v>135753.14820731705</v>
      </c>
      <c r="AY74" s="129">
        <v>0</v>
      </c>
      <c r="AZ74" s="129">
        <v>116952.80762384109</v>
      </c>
      <c r="BA74" s="129">
        <v>0</v>
      </c>
      <c r="BB74" s="129">
        <v>0</v>
      </c>
      <c r="BC74" s="129">
        <v>0</v>
      </c>
      <c r="BD74" s="252"/>
      <c r="BE74" s="252">
        <v>151599.37</v>
      </c>
      <c r="BF74" s="251"/>
      <c r="BG74" s="259">
        <v>8246</v>
      </c>
      <c r="BH74" s="256">
        <v>-1968.3999999999996</v>
      </c>
      <c r="BI74" s="243"/>
      <c r="BJ74" s="129"/>
      <c r="BK74" s="129"/>
      <c r="BL74" s="251">
        <v>1000089.4400000001</v>
      </c>
      <c r="BM74" s="259">
        <v>336770.09523115813</v>
      </c>
      <c r="BN74" s="259">
        <v>157876.97</v>
      </c>
      <c r="BO74" s="259">
        <v>180398.79551641058</v>
      </c>
      <c r="BP74" s="136">
        <v>1494736.5052311581</v>
      </c>
      <c r="BQ74" s="136">
        <v>1494667.4172311584</v>
      </c>
      <c r="BR74" s="267">
        <v>0</v>
      </c>
      <c r="BS74" s="136">
        <v>1336790.4472311581</v>
      </c>
      <c r="BT74" s="271">
        <v>5262.9545166581029</v>
      </c>
      <c r="BU74" s="271">
        <v>5212.0599509505719</v>
      </c>
      <c r="BV74" s="275">
        <v>9.7647698197041808E-3</v>
      </c>
      <c r="BW74" s="275">
        <v>0</v>
      </c>
      <c r="BX74" s="278">
        <v>0</v>
      </c>
      <c r="BY74" s="288">
        <v>1494736.5052311581</v>
      </c>
      <c r="BZ74" s="256">
        <v>-325.12</v>
      </c>
      <c r="CA74" s="263">
        <v>-2776.22</v>
      </c>
      <c r="CB74" s="296">
        <v>1491635.165231158</v>
      </c>
      <c r="CC74" s="2"/>
      <c r="CD74" s="521">
        <f>VLOOKUP(B74,'EYSFF (Universal)'!$A$10:$AC$66,29,0)</f>
        <v>284509.74885245902</v>
      </c>
      <c r="CE74" s="523"/>
      <c r="CF74" s="514"/>
      <c r="CG74" s="100"/>
      <c r="CH74" s="565">
        <v>0</v>
      </c>
      <c r="CI74" s="114">
        <v>64337</v>
      </c>
      <c r="CK74" s="111">
        <v>68385</v>
      </c>
      <c r="CL74" s="111">
        <v>0</v>
      </c>
      <c r="CM74" s="556">
        <v>0</v>
      </c>
      <c r="CN74" s="560">
        <v>7396</v>
      </c>
      <c r="CO74" s="2">
        <v>23178.857142857145</v>
      </c>
      <c r="CP74" s="571">
        <v>95418.95</v>
      </c>
      <c r="CQ74" s="547">
        <v>7793.5</v>
      </c>
      <c r="CR74" s="544"/>
      <c r="CS74" s="114"/>
      <c r="CT74" s="2"/>
    </row>
    <row r="75" spans="1:98" ht="14" x14ac:dyDescent="0.25">
      <c r="A75" s="60">
        <v>3125204</v>
      </c>
      <c r="B75" s="145">
        <v>5204</v>
      </c>
      <c r="C75" s="211" t="s">
        <v>111</v>
      </c>
      <c r="D75" s="217">
        <v>172</v>
      </c>
      <c r="E75" s="224">
        <v>172</v>
      </c>
      <c r="F75" s="224">
        <v>0</v>
      </c>
      <c r="G75" s="224">
        <v>0</v>
      </c>
      <c r="H75" s="224">
        <v>0</v>
      </c>
      <c r="I75" s="224">
        <v>24.999999999999943</v>
      </c>
      <c r="J75" s="221">
        <v>0</v>
      </c>
      <c r="K75" s="214">
        <v>24.999999999999943</v>
      </c>
      <c r="L75" s="224">
        <v>0</v>
      </c>
      <c r="M75" s="224">
        <v>40.00000000000005</v>
      </c>
      <c r="N75" s="224">
        <v>2.0000000000000022</v>
      </c>
      <c r="O75" s="224">
        <v>6.0000000000000071</v>
      </c>
      <c r="P75" s="224">
        <v>0</v>
      </c>
      <c r="Q75" s="224">
        <v>0</v>
      </c>
      <c r="R75" s="224">
        <v>0</v>
      </c>
      <c r="S75" s="224">
        <v>0</v>
      </c>
      <c r="T75" s="224">
        <v>0</v>
      </c>
      <c r="U75" s="224">
        <v>0</v>
      </c>
      <c r="V75" s="224">
        <v>0</v>
      </c>
      <c r="W75" s="224">
        <v>0</v>
      </c>
      <c r="X75" s="224">
        <v>0</v>
      </c>
      <c r="Y75" s="224">
        <v>105.96428571428601</v>
      </c>
      <c r="Z75" s="224">
        <v>0</v>
      </c>
      <c r="AA75" s="224">
        <v>56.261682242990602</v>
      </c>
      <c r="AB75" s="224">
        <v>0</v>
      </c>
      <c r="AC75" s="224">
        <v>0</v>
      </c>
      <c r="AD75" s="221">
        <v>0</v>
      </c>
      <c r="AE75" s="230">
        <v>677225.92</v>
      </c>
      <c r="AF75" s="128">
        <v>0</v>
      </c>
      <c r="AG75" s="233">
        <v>0</v>
      </c>
      <c r="AH75" s="240">
        <v>13480.634999999971</v>
      </c>
      <c r="AI75" s="237">
        <v>0</v>
      </c>
      <c r="AJ75" s="243">
        <v>22559.429999999949</v>
      </c>
      <c r="AK75" s="251">
        <v>0</v>
      </c>
      <c r="AL75" s="259">
        <v>10344.324000000011</v>
      </c>
      <c r="AM75" s="256">
        <v>627.26220000000069</v>
      </c>
      <c r="AN75" s="243">
        <v>2938.2282000000037</v>
      </c>
      <c r="AO75" s="129">
        <v>0</v>
      </c>
      <c r="AP75" s="129">
        <v>0</v>
      </c>
      <c r="AQ75" s="129">
        <v>0</v>
      </c>
      <c r="AR75" s="129">
        <v>0</v>
      </c>
      <c r="AS75" s="129">
        <v>0</v>
      </c>
      <c r="AT75" s="129">
        <v>0</v>
      </c>
      <c r="AU75" s="129">
        <v>0</v>
      </c>
      <c r="AV75" s="129">
        <v>0</v>
      </c>
      <c r="AW75" s="129">
        <v>0</v>
      </c>
      <c r="AX75" s="129">
        <v>68799.580135714335</v>
      </c>
      <c r="AY75" s="129">
        <v>0</v>
      </c>
      <c r="AZ75" s="129">
        <v>72439.065084112066</v>
      </c>
      <c r="BA75" s="129">
        <v>0</v>
      </c>
      <c r="BB75" s="129">
        <v>0</v>
      </c>
      <c r="BC75" s="129">
        <v>0</v>
      </c>
      <c r="BD75" s="252"/>
      <c r="BE75" s="252">
        <v>151599.37</v>
      </c>
      <c r="BF75" s="251"/>
      <c r="BG75" s="259">
        <v>10906</v>
      </c>
      <c r="BH75" s="256">
        <v>3299.8500000000004</v>
      </c>
      <c r="BI75" s="243"/>
      <c r="BJ75" s="129"/>
      <c r="BK75" s="129"/>
      <c r="BL75" s="251">
        <v>677225.92</v>
      </c>
      <c r="BM75" s="259">
        <v>191188.52461982635</v>
      </c>
      <c r="BN75" s="259">
        <v>165805.22</v>
      </c>
      <c r="BO75" s="259">
        <v>114493.19096906531</v>
      </c>
      <c r="BP75" s="136">
        <v>1034219.6646198264</v>
      </c>
      <c r="BQ75" s="136">
        <v>1034172.8806198265</v>
      </c>
      <c r="BR75" s="267">
        <v>0</v>
      </c>
      <c r="BS75" s="136">
        <v>868367.66061982641</v>
      </c>
      <c r="BT75" s="271">
        <v>5048.6491896501539</v>
      </c>
      <c r="BU75" s="271">
        <v>5134.5051186046512</v>
      </c>
      <c r="BV75" s="275">
        <v>-1.6721363981779317E-2</v>
      </c>
      <c r="BW75" s="275">
        <v>2.1721363981779318E-2</v>
      </c>
      <c r="BX75" s="278">
        <v>19136.110182173557</v>
      </c>
      <c r="BY75" s="288">
        <v>1053355.774802</v>
      </c>
      <c r="BZ75" s="256">
        <v>-220.16</v>
      </c>
      <c r="CA75" s="263">
        <v>-1879.96</v>
      </c>
      <c r="CB75" s="296">
        <v>1051255.6548020002</v>
      </c>
      <c r="CC75" s="2"/>
      <c r="CD75" s="521">
        <f>VLOOKUP(B75,'EYSFF (Universal)'!$A$10:$AC$66,29,0)</f>
        <v>161569.802</v>
      </c>
      <c r="CE75" s="523"/>
      <c r="CF75" s="514"/>
      <c r="CG75" s="100"/>
      <c r="CH75" s="565">
        <v>0</v>
      </c>
      <c r="CI75" s="114">
        <v>63731</v>
      </c>
      <c r="CK75" s="111">
        <v>43650</v>
      </c>
      <c r="CL75" s="111">
        <v>335</v>
      </c>
      <c r="CM75" s="556">
        <v>0</v>
      </c>
      <c r="CN75" s="560">
        <v>7133</v>
      </c>
      <c r="CO75" s="2">
        <v>15936</v>
      </c>
      <c r="CP75" s="571">
        <v>58164.7</v>
      </c>
      <c r="CQ75" s="547">
        <v>6378.25</v>
      </c>
      <c r="CR75" s="544"/>
      <c r="CS75" s="114"/>
      <c r="CT75" s="2"/>
    </row>
    <row r="76" spans="1:98" ht="14" x14ac:dyDescent="0.25">
      <c r="A76" s="60">
        <v>3125205</v>
      </c>
      <c r="B76" s="145">
        <v>5205</v>
      </c>
      <c r="C76" s="211" t="s">
        <v>113</v>
      </c>
      <c r="D76" s="217">
        <v>226</v>
      </c>
      <c r="E76" s="224">
        <v>226</v>
      </c>
      <c r="F76" s="224">
        <v>0</v>
      </c>
      <c r="G76" s="224">
        <v>0</v>
      </c>
      <c r="H76" s="224">
        <v>0</v>
      </c>
      <c r="I76" s="224">
        <v>45.000000000000085</v>
      </c>
      <c r="J76" s="221">
        <v>0</v>
      </c>
      <c r="K76" s="214">
        <v>45.000000000000085</v>
      </c>
      <c r="L76" s="224">
        <v>0</v>
      </c>
      <c r="M76" s="224">
        <v>46.999999999999886</v>
      </c>
      <c r="N76" s="224">
        <v>0</v>
      </c>
      <c r="O76" s="224">
        <v>8.0000000000000053</v>
      </c>
      <c r="P76" s="224">
        <v>1.0000000000000007</v>
      </c>
      <c r="Q76" s="224">
        <v>0</v>
      </c>
      <c r="R76" s="224">
        <v>0</v>
      </c>
      <c r="S76" s="224">
        <v>0</v>
      </c>
      <c r="T76" s="224">
        <v>0</v>
      </c>
      <c r="U76" s="224">
        <v>0</v>
      </c>
      <c r="V76" s="224">
        <v>0</v>
      </c>
      <c r="W76" s="224">
        <v>0</v>
      </c>
      <c r="X76" s="224">
        <v>0</v>
      </c>
      <c r="Y76" s="224">
        <v>59.000000000000028</v>
      </c>
      <c r="Z76" s="224">
        <v>0</v>
      </c>
      <c r="AA76" s="224">
        <v>72.184684217799898</v>
      </c>
      <c r="AB76" s="224">
        <v>0</v>
      </c>
      <c r="AC76" s="224">
        <v>0</v>
      </c>
      <c r="AD76" s="221">
        <v>0</v>
      </c>
      <c r="AE76" s="230">
        <v>889843.36</v>
      </c>
      <c r="AF76" s="128">
        <v>0</v>
      </c>
      <c r="AG76" s="233">
        <v>0</v>
      </c>
      <c r="AH76" s="240">
        <v>24265.143000000047</v>
      </c>
      <c r="AI76" s="237">
        <v>0</v>
      </c>
      <c r="AJ76" s="243">
        <v>40606.974000000075</v>
      </c>
      <c r="AK76" s="251">
        <v>0</v>
      </c>
      <c r="AL76" s="259">
        <v>12154.58069999997</v>
      </c>
      <c r="AM76" s="256">
        <v>0</v>
      </c>
      <c r="AN76" s="243">
        <v>3917.6376000000027</v>
      </c>
      <c r="AO76" s="129">
        <v>533.72310000000039</v>
      </c>
      <c r="AP76" s="129">
        <v>0</v>
      </c>
      <c r="AQ76" s="129">
        <v>0</v>
      </c>
      <c r="AR76" s="129">
        <v>0</v>
      </c>
      <c r="AS76" s="129">
        <v>0</v>
      </c>
      <c r="AT76" s="129">
        <v>0</v>
      </c>
      <c r="AU76" s="129">
        <v>0</v>
      </c>
      <c r="AV76" s="129">
        <v>0</v>
      </c>
      <c r="AW76" s="129">
        <v>0</v>
      </c>
      <c r="AX76" s="129">
        <v>38307.012600000016</v>
      </c>
      <c r="AY76" s="129">
        <v>0</v>
      </c>
      <c r="AZ76" s="129">
        <v>92940.538385354448</v>
      </c>
      <c r="BA76" s="129">
        <v>0</v>
      </c>
      <c r="BB76" s="129">
        <v>0</v>
      </c>
      <c r="BC76" s="129">
        <v>0</v>
      </c>
      <c r="BD76" s="252"/>
      <c r="BE76" s="252">
        <v>151599.37</v>
      </c>
      <c r="BF76" s="251"/>
      <c r="BG76" s="259">
        <v>10906</v>
      </c>
      <c r="BH76" s="256">
        <v>3299.8500000000004</v>
      </c>
      <c r="BI76" s="243"/>
      <c r="BJ76" s="129"/>
      <c r="BK76" s="129"/>
      <c r="BL76" s="251">
        <v>889843.36</v>
      </c>
      <c r="BM76" s="259">
        <v>212725.60938535456</v>
      </c>
      <c r="BN76" s="259">
        <v>165805.22</v>
      </c>
      <c r="BO76" s="259">
        <v>150753.45566223317</v>
      </c>
      <c r="BP76" s="136">
        <v>1268374.1893853545</v>
      </c>
      <c r="BQ76" s="136">
        <v>1268312.7173853545</v>
      </c>
      <c r="BR76" s="267">
        <v>0</v>
      </c>
      <c r="BS76" s="136">
        <v>1102507.4973853547</v>
      </c>
      <c r="BT76" s="271">
        <v>4878.3517583422772</v>
      </c>
      <c r="BU76" s="271">
        <v>4928.0433325892855</v>
      </c>
      <c r="BV76" s="275">
        <v>-1.0083428836430172E-2</v>
      </c>
      <c r="BW76" s="275">
        <v>1.5083428836430171E-2</v>
      </c>
      <c r="BX76" s="278">
        <v>16737.512745650183</v>
      </c>
      <c r="BY76" s="288">
        <v>1285111.7021310048</v>
      </c>
      <c r="BZ76" s="256">
        <v>-289.28000000000003</v>
      </c>
      <c r="CA76" s="263">
        <v>-2470.1799999999998</v>
      </c>
      <c r="CB76" s="296">
        <v>1282352.2421310048</v>
      </c>
      <c r="CC76" s="2"/>
      <c r="CD76" s="521"/>
      <c r="CE76" s="523"/>
      <c r="CF76" s="514"/>
      <c r="CG76" s="100"/>
      <c r="CH76" s="565">
        <v>0</v>
      </c>
      <c r="CI76" s="114">
        <v>50968.060933333327</v>
      </c>
      <c r="CK76" s="111">
        <v>81480</v>
      </c>
      <c r="CL76" s="111">
        <v>670</v>
      </c>
      <c r="CM76" s="556">
        <v>2530</v>
      </c>
      <c r="CN76" s="560">
        <v>7587</v>
      </c>
      <c r="CO76" s="2">
        <v>20994.857142857145</v>
      </c>
      <c r="CP76" s="571"/>
      <c r="CQ76" s="547">
        <v>6610</v>
      </c>
      <c r="CR76" s="544"/>
      <c r="CS76" s="114"/>
      <c r="CT76" s="2"/>
    </row>
    <row r="77" spans="1:98" ht="14" x14ac:dyDescent="0.25">
      <c r="A77" s="60">
        <v>3125206</v>
      </c>
      <c r="B77" s="145">
        <v>5206</v>
      </c>
      <c r="C77" s="211" t="s">
        <v>51</v>
      </c>
      <c r="D77" s="217">
        <v>389</v>
      </c>
      <c r="E77" s="224">
        <v>389</v>
      </c>
      <c r="F77" s="224">
        <v>0</v>
      </c>
      <c r="G77" s="224">
        <v>0</v>
      </c>
      <c r="H77" s="224">
        <v>0</v>
      </c>
      <c r="I77" s="224">
        <v>111.99999999999996</v>
      </c>
      <c r="J77" s="221">
        <v>0</v>
      </c>
      <c r="K77" s="214">
        <v>118.9999999999999</v>
      </c>
      <c r="L77" s="224">
        <v>0</v>
      </c>
      <c r="M77" s="224">
        <v>123.00000000000014</v>
      </c>
      <c r="N77" s="224">
        <v>88.000000000000114</v>
      </c>
      <c r="O77" s="224">
        <v>16.000000000000007</v>
      </c>
      <c r="P77" s="224">
        <v>2.0000000000000009</v>
      </c>
      <c r="Q77" s="224">
        <v>7.0000000000000027</v>
      </c>
      <c r="R77" s="224">
        <v>0</v>
      </c>
      <c r="S77" s="224">
        <v>0</v>
      </c>
      <c r="T77" s="224">
        <v>0</v>
      </c>
      <c r="U77" s="224">
        <v>0</v>
      </c>
      <c r="V77" s="224">
        <v>0</v>
      </c>
      <c r="W77" s="224">
        <v>0</v>
      </c>
      <c r="X77" s="224">
        <v>0</v>
      </c>
      <c r="Y77" s="224">
        <v>117.52265861027205</v>
      </c>
      <c r="Z77" s="224">
        <v>0</v>
      </c>
      <c r="AA77" s="224">
        <v>142.5102050695387</v>
      </c>
      <c r="AB77" s="224">
        <v>0</v>
      </c>
      <c r="AC77" s="224">
        <v>0.66000000000001124</v>
      </c>
      <c r="AD77" s="221">
        <v>0</v>
      </c>
      <c r="AE77" s="230">
        <v>1531633.04</v>
      </c>
      <c r="AF77" s="128">
        <v>0</v>
      </c>
      <c r="AG77" s="233">
        <v>0</v>
      </c>
      <c r="AH77" s="240">
        <v>60393.244799999979</v>
      </c>
      <c r="AI77" s="237">
        <v>0</v>
      </c>
      <c r="AJ77" s="243">
        <v>107382.88679999991</v>
      </c>
      <c r="AK77" s="251">
        <v>0</v>
      </c>
      <c r="AL77" s="259">
        <v>31808.796300000035</v>
      </c>
      <c r="AM77" s="256">
        <v>27599.536800000034</v>
      </c>
      <c r="AN77" s="243">
        <v>7835.2752000000037</v>
      </c>
      <c r="AO77" s="129">
        <v>1067.4462000000005</v>
      </c>
      <c r="AP77" s="129">
        <v>3967.1583000000014</v>
      </c>
      <c r="AQ77" s="129">
        <v>0</v>
      </c>
      <c r="AR77" s="129">
        <v>0</v>
      </c>
      <c r="AS77" s="129">
        <v>0</v>
      </c>
      <c r="AT77" s="129">
        <v>0</v>
      </c>
      <c r="AU77" s="129">
        <v>0</v>
      </c>
      <c r="AV77" s="129">
        <v>0</v>
      </c>
      <c r="AW77" s="129">
        <v>0</v>
      </c>
      <c r="AX77" s="129">
        <v>76304.101087613381</v>
      </c>
      <c r="AY77" s="129">
        <v>0</v>
      </c>
      <c r="AZ77" s="129">
        <v>183487.33291686472</v>
      </c>
      <c r="BA77" s="129">
        <v>0</v>
      </c>
      <c r="BB77" s="129">
        <v>697.2514560000119</v>
      </c>
      <c r="BC77" s="129">
        <v>0</v>
      </c>
      <c r="BD77" s="252"/>
      <c r="BE77" s="252">
        <v>151599.37</v>
      </c>
      <c r="BF77" s="251"/>
      <c r="BG77" s="259">
        <v>13926</v>
      </c>
      <c r="BH77" s="256">
        <v>0</v>
      </c>
      <c r="BI77" s="243"/>
      <c r="BJ77" s="129"/>
      <c r="BK77" s="129"/>
      <c r="BL77" s="251">
        <v>1531633.04</v>
      </c>
      <c r="BM77" s="259">
        <v>500543.02986047807</v>
      </c>
      <c r="BN77" s="259">
        <v>165525.37</v>
      </c>
      <c r="BO77" s="259">
        <v>314199.05915393285</v>
      </c>
      <c r="BP77" s="136">
        <v>2197701.439860478</v>
      </c>
      <c r="BQ77" s="136">
        <v>2197595.6318604783</v>
      </c>
      <c r="BR77" s="267">
        <v>0</v>
      </c>
      <c r="BS77" s="136">
        <v>2032070.2618604782</v>
      </c>
      <c r="BT77" s="271">
        <v>5223.831007353414</v>
      </c>
      <c r="BU77" s="271">
        <v>5185.9593538071067</v>
      </c>
      <c r="BV77" s="275">
        <v>7.3027285720056742E-3</v>
      </c>
      <c r="BW77" s="275">
        <v>0</v>
      </c>
      <c r="BX77" s="278">
        <v>0</v>
      </c>
      <c r="BY77" s="288">
        <v>2197701.439860478</v>
      </c>
      <c r="BZ77" s="256">
        <v>0</v>
      </c>
      <c r="CA77" s="263">
        <v>0</v>
      </c>
      <c r="CB77" s="296">
        <v>2197701.439860478</v>
      </c>
      <c r="CC77" s="2"/>
      <c r="CD77" s="521">
        <f>VLOOKUP(B77,'EYSFF (Universal)'!$A$10:$AC$66,29,0)</f>
        <v>190532.21634782609</v>
      </c>
      <c r="CE77" s="523">
        <f>VLOOKUP(B77,'EYSFF (Additional)'!$A$11:$AB$57,28,0)</f>
        <v>60987.460500000001</v>
      </c>
      <c r="CF77" s="514"/>
      <c r="CG77" s="100"/>
      <c r="CH77" s="565">
        <v>56000</v>
      </c>
      <c r="CI77" s="114">
        <v>193314</v>
      </c>
      <c r="CK77" s="111"/>
      <c r="CL77" s="111"/>
      <c r="CM77" s="556"/>
      <c r="CN77" s="560"/>
      <c r="CO77" s="2">
        <v>0</v>
      </c>
      <c r="CP77" s="571"/>
      <c r="CQ77" s="547"/>
      <c r="CR77" s="544"/>
      <c r="CS77" s="114"/>
      <c r="CT77" s="2"/>
    </row>
    <row r="78" spans="1:98" ht="14" x14ac:dyDescent="0.25">
      <c r="A78" s="60">
        <v>3125208</v>
      </c>
      <c r="B78" s="145">
        <v>5208</v>
      </c>
      <c r="C78" s="211" t="s">
        <v>156</v>
      </c>
      <c r="D78" s="217">
        <v>189</v>
      </c>
      <c r="E78" s="224">
        <v>189</v>
      </c>
      <c r="F78" s="224">
        <v>0</v>
      </c>
      <c r="G78" s="224">
        <v>0</v>
      </c>
      <c r="H78" s="224">
        <v>0</v>
      </c>
      <c r="I78" s="224">
        <v>61.00000000000005</v>
      </c>
      <c r="J78" s="221">
        <v>0</v>
      </c>
      <c r="K78" s="214">
        <v>61.00000000000005</v>
      </c>
      <c r="L78" s="224">
        <v>0</v>
      </c>
      <c r="M78" s="224">
        <v>20.999999999999979</v>
      </c>
      <c r="N78" s="224">
        <v>55</v>
      </c>
      <c r="O78" s="224">
        <v>12.000000000000002</v>
      </c>
      <c r="P78" s="224">
        <v>4.0000000000000071</v>
      </c>
      <c r="Q78" s="224">
        <v>0</v>
      </c>
      <c r="R78" s="224">
        <v>0</v>
      </c>
      <c r="S78" s="224">
        <v>0</v>
      </c>
      <c r="T78" s="224">
        <v>0</v>
      </c>
      <c r="U78" s="224">
        <v>0</v>
      </c>
      <c r="V78" s="224">
        <v>0</v>
      </c>
      <c r="W78" s="224">
        <v>0</v>
      </c>
      <c r="X78" s="224">
        <v>0</v>
      </c>
      <c r="Y78" s="224">
        <v>38.981249999999996</v>
      </c>
      <c r="Z78" s="224">
        <v>0</v>
      </c>
      <c r="AA78" s="224">
        <v>56.343814080656173</v>
      </c>
      <c r="AB78" s="224">
        <v>0</v>
      </c>
      <c r="AC78" s="224">
        <v>4.6600000000000099</v>
      </c>
      <c r="AD78" s="221">
        <v>0</v>
      </c>
      <c r="AE78" s="230">
        <v>744161.04</v>
      </c>
      <c r="AF78" s="128">
        <v>0</v>
      </c>
      <c r="AG78" s="233">
        <v>0</v>
      </c>
      <c r="AH78" s="240">
        <v>32892.74940000003</v>
      </c>
      <c r="AI78" s="237">
        <v>0</v>
      </c>
      <c r="AJ78" s="243">
        <v>55045.009200000044</v>
      </c>
      <c r="AK78" s="251">
        <v>0</v>
      </c>
      <c r="AL78" s="259">
        <v>5430.7700999999943</v>
      </c>
      <c r="AM78" s="256">
        <v>17249.710500000001</v>
      </c>
      <c r="AN78" s="243">
        <v>5876.4564000000009</v>
      </c>
      <c r="AO78" s="129">
        <v>2134.8924000000038</v>
      </c>
      <c r="AP78" s="129">
        <v>0</v>
      </c>
      <c r="AQ78" s="129">
        <v>0</v>
      </c>
      <c r="AR78" s="129">
        <v>0</v>
      </c>
      <c r="AS78" s="129">
        <v>0</v>
      </c>
      <c r="AT78" s="129">
        <v>0</v>
      </c>
      <c r="AU78" s="129">
        <v>0</v>
      </c>
      <c r="AV78" s="129">
        <v>0</v>
      </c>
      <c r="AW78" s="129">
        <v>0</v>
      </c>
      <c r="AX78" s="129">
        <v>25309.410761249997</v>
      </c>
      <c r="AY78" s="129">
        <v>0</v>
      </c>
      <c r="AZ78" s="129">
        <v>72544.812962542695</v>
      </c>
      <c r="BA78" s="129">
        <v>0</v>
      </c>
      <c r="BB78" s="129">
        <v>4923.0178560000113</v>
      </c>
      <c r="BC78" s="129">
        <v>0</v>
      </c>
      <c r="BD78" s="252"/>
      <c r="BE78" s="252">
        <v>151599.37</v>
      </c>
      <c r="BF78" s="251"/>
      <c r="BG78" s="259">
        <v>4170.24</v>
      </c>
      <c r="BH78" s="256">
        <v>131</v>
      </c>
      <c r="BI78" s="243"/>
      <c r="BJ78" s="129"/>
      <c r="BK78" s="129"/>
      <c r="BL78" s="251">
        <v>744161.04</v>
      </c>
      <c r="BM78" s="259">
        <v>221406.82957979277</v>
      </c>
      <c r="BN78" s="259">
        <v>155900.60999999999</v>
      </c>
      <c r="BO78" s="259">
        <v>140058.81889887011</v>
      </c>
      <c r="BP78" s="136">
        <v>1121468.4795797928</v>
      </c>
      <c r="BQ78" s="136">
        <v>1121417.071579793</v>
      </c>
      <c r="BR78" s="267">
        <v>0</v>
      </c>
      <c r="BS78" s="136">
        <v>965516.46157979278</v>
      </c>
      <c r="BT78" s="271">
        <v>5108.5527067713901</v>
      </c>
      <c r="BU78" s="271">
        <v>5047.7494728260872</v>
      </c>
      <c r="BV78" s="275">
        <v>1.2045612460093233E-2</v>
      </c>
      <c r="BW78" s="275">
        <v>0</v>
      </c>
      <c r="BX78" s="278">
        <v>0</v>
      </c>
      <c r="BY78" s="288">
        <v>1121468.4795797928</v>
      </c>
      <c r="BZ78" s="256">
        <v>-241.92000000000002</v>
      </c>
      <c r="CA78" s="263">
        <v>-2065.77</v>
      </c>
      <c r="CB78" s="296">
        <v>1119160.7895797929</v>
      </c>
      <c r="CC78" s="2"/>
      <c r="CD78" s="521">
        <f>VLOOKUP(B78,'EYSFF (Universal)'!$A$10:$AC$66,29,0)</f>
        <v>63486.981</v>
      </c>
      <c r="CE78" s="523">
        <f>VLOOKUP(B78,'EYSFF (Additional)'!$A$11:$AB$57,28,0)</f>
        <v>25871.607</v>
      </c>
      <c r="CF78" s="514"/>
      <c r="CG78" s="100"/>
      <c r="CH78" s="565">
        <v>0</v>
      </c>
      <c r="CI78" s="114">
        <v>72484.333333333343</v>
      </c>
      <c r="CK78" s="111">
        <v>71295</v>
      </c>
      <c r="CL78" s="111">
        <v>1340</v>
      </c>
      <c r="CM78" s="556">
        <v>0</v>
      </c>
      <c r="CN78" s="560">
        <v>7325</v>
      </c>
      <c r="CO78" s="2">
        <v>17922.857142857145</v>
      </c>
      <c r="CP78" s="571">
        <v>18506.95</v>
      </c>
      <c r="CQ78" s="547"/>
      <c r="CR78" s="544"/>
      <c r="CS78" s="114"/>
      <c r="CT78" s="2"/>
    </row>
    <row r="79" spans="1:98" ht="14" x14ac:dyDescent="0.25">
      <c r="A79" s="60">
        <v>3125211</v>
      </c>
      <c r="B79" s="145">
        <v>5211</v>
      </c>
      <c r="C79" s="211" t="s">
        <v>96</v>
      </c>
      <c r="D79" s="217">
        <v>609</v>
      </c>
      <c r="E79" s="224">
        <v>609</v>
      </c>
      <c r="F79" s="224">
        <v>0</v>
      </c>
      <c r="G79" s="224">
        <v>0</v>
      </c>
      <c r="H79" s="224">
        <v>0</v>
      </c>
      <c r="I79" s="224">
        <v>111.99999999999969</v>
      </c>
      <c r="J79" s="221">
        <v>0</v>
      </c>
      <c r="K79" s="214">
        <v>115.00000000000017</v>
      </c>
      <c r="L79" s="224">
        <v>0</v>
      </c>
      <c r="M79" s="224">
        <v>97.999999999999972</v>
      </c>
      <c r="N79" s="224">
        <v>50.000000000000014</v>
      </c>
      <c r="O79" s="224">
        <v>22</v>
      </c>
      <c r="P79" s="224">
        <v>1.0000000000000027</v>
      </c>
      <c r="Q79" s="224">
        <v>1.0000000000000027</v>
      </c>
      <c r="R79" s="224">
        <v>0</v>
      </c>
      <c r="S79" s="224">
        <v>0</v>
      </c>
      <c r="T79" s="224">
        <v>0</v>
      </c>
      <c r="U79" s="224">
        <v>0</v>
      </c>
      <c r="V79" s="224">
        <v>0</v>
      </c>
      <c r="W79" s="224">
        <v>0</v>
      </c>
      <c r="X79" s="224">
        <v>0</v>
      </c>
      <c r="Y79" s="224">
        <v>182.93155893536112</v>
      </c>
      <c r="Z79" s="224">
        <v>0</v>
      </c>
      <c r="AA79" s="224">
        <v>177.18312546144927</v>
      </c>
      <c r="AB79" s="224">
        <v>0</v>
      </c>
      <c r="AC79" s="224">
        <v>20.553750000000001</v>
      </c>
      <c r="AD79" s="221">
        <v>0</v>
      </c>
      <c r="AE79" s="230">
        <v>2397852.2400000002</v>
      </c>
      <c r="AF79" s="128">
        <v>0</v>
      </c>
      <c r="AG79" s="233">
        <v>0</v>
      </c>
      <c r="AH79" s="240">
        <v>60393.244799999833</v>
      </c>
      <c r="AI79" s="237">
        <v>0</v>
      </c>
      <c r="AJ79" s="243">
        <v>103773.37800000016</v>
      </c>
      <c r="AK79" s="251">
        <v>0</v>
      </c>
      <c r="AL79" s="259">
        <v>25343.593799999991</v>
      </c>
      <c r="AM79" s="256">
        <v>15681.555000000004</v>
      </c>
      <c r="AN79" s="243">
        <v>10773.5034</v>
      </c>
      <c r="AO79" s="129">
        <v>533.72310000000152</v>
      </c>
      <c r="AP79" s="129">
        <v>566.73690000000147</v>
      </c>
      <c r="AQ79" s="129">
        <v>0</v>
      </c>
      <c r="AR79" s="129">
        <v>0</v>
      </c>
      <c r="AS79" s="129">
        <v>0</v>
      </c>
      <c r="AT79" s="129">
        <v>0</v>
      </c>
      <c r="AU79" s="129">
        <v>0</v>
      </c>
      <c r="AV79" s="129">
        <v>0</v>
      </c>
      <c r="AW79" s="129">
        <v>0</v>
      </c>
      <c r="AX79" s="129">
        <v>118772.22937414442</v>
      </c>
      <c r="AY79" s="129">
        <v>0</v>
      </c>
      <c r="AZ79" s="129">
        <v>228130.04242700854</v>
      </c>
      <c r="BA79" s="129">
        <v>0</v>
      </c>
      <c r="BB79" s="129">
        <v>21713.836536000003</v>
      </c>
      <c r="BC79" s="129">
        <v>0</v>
      </c>
      <c r="BD79" s="252"/>
      <c r="BE79" s="252">
        <v>151599.37</v>
      </c>
      <c r="BF79" s="251"/>
      <c r="BG79" s="259">
        <v>13480.88</v>
      </c>
      <c r="BH79" s="256">
        <v>2455.5</v>
      </c>
      <c r="BI79" s="243"/>
      <c r="BJ79" s="129"/>
      <c r="BK79" s="129"/>
      <c r="BL79" s="251">
        <v>2397852.2400000002</v>
      </c>
      <c r="BM79" s="259">
        <v>585681.84333715297</v>
      </c>
      <c r="BN79" s="259">
        <v>167535.75</v>
      </c>
      <c r="BO79" s="259">
        <v>380785.20837786805</v>
      </c>
      <c r="BP79" s="136">
        <v>3151069.8333371533</v>
      </c>
      <c r="BQ79" s="136">
        <v>3150904.1853371528</v>
      </c>
      <c r="BR79" s="267">
        <v>0</v>
      </c>
      <c r="BS79" s="136">
        <v>2983368.4353371533</v>
      </c>
      <c r="BT79" s="271">
        <v>4898.7987443959828</v>
      </c>
      <c r="BU79" s="271">
        <v>4807.3745922689077</v>
      </c>
      <c r="BV79" s="275">
        <v>1.9017480408974372E-2</v>
      </c>
      <c r="BW79" s="275">
        <v>0</v>
      </c>
      <c r="BX79" s="278">
        <v>0</v>
      </c>
      <c r="BY79" s="288">
        <v>3151069.8333371533</v>
      </c>
      <c r="BZ79" s="256">
        <v>-779.52</v>
      </c>
      <c r="CA79" s="263">
        <v>-6656.37</v>
      </c>
      <c r="CB79" s="296">
        <v>3143633.9433371532</v>
      </c>
      <c r="CC79" s="2"/>
      <c r="CD79" s="521">
        <f>VLOOKUP(B79,'EYSFF (Universal)'!$A$10:$AC$66,29,0)</f>
        <v>261096.92035104363</v>
      </c>
      <c r="CE79" s="523">
        <f>VLOOKUP(B79,'EYSFF (Additional)'!$A$11:$AB$57,28,0)</f>
        <v>52615.892647058827</v>
      </c>
      <c r="CF79" s="514"/>
      <c r="CG79" s="100"/>
      <c r="CH79" s="565">
        <v>78000</v>
      </c>
      <c r="CI79" s="114">
        <v>456486.33333333337</v>
      </c>
      <c r="CK79" s="111">
        <v>148410</v>
      </c>
      <c r="CL79" s="111">
        <v>670</v>
      </c>
      <c r="CM79" s="556">
        <v>15180</v>
      </c>
      <c r="CN79" s="560">
        <v>8867</v>
      </c>
      <c r="CO79" s="2">
        <v>48684</v>
      </c>
      <c r="CP79" s="571">
        <v>74027.8</v>
      </c>
      <c r="CQ79" s="547">
        <v>11483.5</v>
      </c>
      <c r="CR79" s="544"/>
      <c r="CS79" s="114"/>
      <c r="CT79" s="2"/>
    </row>
    <row r="80" spans="1:98" ht="14" x14ac:dyDescent="0.25">
      <c r="A80" s="60">
        <v>3125400</v>
      </c>
      <c r="B80" s="145">
        <v>5400</v>
      </c>
      <c r="C80" s="211" t="s">
        <v>42</v>
      </c>
      <c r="D80" s="217">
        <v>963</v>
      </c>
      <c r="E80" s="224">
        <v>0</v>
      </c>
      <c r="F80" s="224">
        <v>963</v>
      </c>
      <c r="G80" s="224">
        <v>588</v>
      </c>
      <c r="H80" s="224">
        <v>375</v>
      </c>
      <c r="I80" s="224">
        <v>0</v>
      </c>
      <c r="J80" s="221">
        <v>239.99999999999994</v>
      </c>
      <c r="K80" s="214">
        <v>0</v>
      </c>
      <c r="L80" s="224">
        <v>255.00000000000003</v>
      </c>
      <c r="M80" s="224">
        <v>0</v>
      </c>
      <c r="N80" s="224">
        <v>0</v>
      </c>
      <c r="O80" s="224">
        <v>0</v>
      </c>
      <c r="P80" s="224">
        <v>0</v>
      </c>
      <c r="Q80" s="224">
        <v>0</v>
      </c>
      <c r="R80" s="224">
        <v>0</v>
      </c>
      <c r="S80" s="224">
        <v>220.0000000000002</v>
      </c>
      <c r="T80" s="224">
        <v>206.99999999999963</v>
      </c>
      <c r="U80" s="224">
        <v>20.999999999999982</v>
      </c>
      <c r="V80" s="224">
        <v>2.0000000000000044</v>
      </c>
      <c r="W80" s="224">
        <v>0</v>
      </c>
      <c r="X80" s="224">
        <v>0</v>
      </c>
      <c r="Y80" s="224">
        <v>0</v>
      </c>
      <c r="Z80" s="224">
        <v>25.209424083769644</v>
      </c>
      <c r="AA80" s="224">
        <v>0</v>
      </c>
      <c r="AB80" s="224">
        <v>223.60770948577141</v>
      </c>
      <c r="AC80" s="224">
        <v>0</v>
      </c>
      <c r="AD80" s="221">
        <v>0</v>
      </c>
      <c r="AE80" s="230">
        <v>0</v>
      </c>
      <c r="AF80" s="128">
        <v>3168349.8000000003</v>
      </c>
      <c r="AG80" s="233">
        <v>2277735</v>
      </c>
      <c r="AH80" s="240">
        <v>0</v>
      </c>
      <c r="AI80" s="237">
        <v>129414.09599999998</v>
      </c>
      <c r="AJ80" s="243">
        <v>0</v>
      </c>
      <c r="AK80" s="251">
        <v>336740.76</v>
      </c>
      <c r="AL80" s="259">
        <v>0</v>
      </c>
      <c r="AM80" s="256">
        <v>0</v>
      </c>
      <c r="AN80" s="243">
        <v>0</v>
      </c>
      <c r="AO80" s="129">
        <v>0</v>
      </c>
      <c r="AP80" s="129">
        <v>0</v>
      </c>
      <c r="AQ80" s="129">
        <v>0</v>
      </c>
      <c r="AR80" s="129">
        <v>82314.408000000083</v>
      </c>
      <c r="AS80" s="129">
        <v>102507.84899999981</v>
      </c>
      <c r="AT80" s="129">
        <v>14559.085799999988</v>
      </c>
      <c r="AU80" s="129">
        <v>1518.6348000000035</v>
      </c>
      <c r="AV80" s="129">
        <v>0</v>
      </c>
      <c r="AW80" s="129">
        <v>0</v>
      </c>
      <c r="AX80" s="129">
        <v>0</v>
      </c>
      <c r="AY80" s="129">
        <v>43971.011081151853</v>
      </c>
      <c r="AZ80" s="129">
        <v>0</v>
      </c>
      <c r="BA80" s="129">
        <v>436776.62846576376</v>
      </c>
      <c r="BB80" s="129">
        <v>0</v>
      </c>
      <c r="BC80" s="129">
        <v>0</v>
      </c>
      <c r="BD80" s="129"/>
      <c r="BE80" s="129"/>
      <c r="BF80" s="251">
        <v>144204.28</v>
      </c>
      <c r="BG80" s="259">
        <v>40044</v>
      </c>
      <c r="BH80" s="256">
        <v>0</v>
      </c>
      <c r="BI80" s="243"/>
      <c r="BJ80" s="129"/>
      <c r="BK80" s="129"/>
      <c r="BL80" s="251">
        <v>5446084.8000000007</v>
      </c>
      <c r="BM80" s="259">
        <v>1147802.4731469154</v>
      </c>
      <c r="BN80" s="259">
        <v>184248.28</v>
      </c>
      <c r="BO80" s="259">
        <v>664154.13872126874</v>
      </c>
      <c r="BP80" s="136">
        <v>6778135.5531469164</v>
      </c>
      <c r="BQ80" s="136">
        <v>0</v>
      </c>
      <c r="BR80" s="267">
        <v>6778135.5531469146</v>
      </c>
      <c r="BS80" s="136">
        <v>6593887.2731469162</v>
      </c>
      <c r="BT80" s="271">
        <v>6847.2349669230698</v>
      </c>
      <c r="BU80" s="271">
        <v>6696.5872479009686</v>
      </c>
      <c r="BV80" s="275">
        <v>2.2496192977896533E-2</v>
      </c>
      <c r="BW80" s="275">
        <v>0</v>
      </c>
      <c r="BX80" s="278">
        <v>0</v>
      </c>
      <c r="BY80" s="288">
        <v>6778135.5531469164</v>
      </c>
      <c r="BZ80" s="256">
        <v>0</v>
      </c>
      <c r="CA80" s="263">
        <v>0</v>
      </c>
      <c r="CB80" s="296">
        <v>6778135.5531469164</v>
      </c>
      <c r="CC80" s="2"/>
      <c r="CD80" s="521"/>
      <c r="CE80" s="523"/>
      <c r="CF80" s="514"/>
      <c r="CG80" s="100">
        <v>69775.83</v>
      </c>
      <c r="CH80" s="565">
        <v>0</v>
      </c>
      <c r="CI80" s="114">
        <v>300374</v>
      </c>
      <c r="CK80" s="111"/>
      <c r="CL80" s="111"/>
      <c r="CM80" s="556"/>
      <c r="CN80" s="560"/>
      <c r="CO80" s="2">
        <v>0</v>
      </c>
      <c r="CP80" s="571"/>
      <c r="CQ80" s="547"/>
      <c r="CR80" s="544"/>
      <c r="CS80" s="114"/>
      <c r="CT80" s="2"/>
    </row>
    <row r="81" spans="1:98" ht="14" x14ac:dyDescent="0.25">
      <c r="A81" s="60">
        <v>3125401</v>
      </c>
      <c r="B81" s="145">
        <v>5401</v>
      </c>
      <c r="C81" s="211" t="s">
        <v>94</v>
      </c>
      <c r="D81" s="217">
        <v>1316</v>
      </c>
      <c r="E81" s="224">
        <v>0</v>
      </c>
      <c r="F81" s="224">
        <v>1316</v>
      </c>
      <c r="G81" s="224">
        <v>774</v>
      </c>
      <c r="H81" s="224">
        <v>542</v>
      </c>
      <c r="I81" s="224">
        <v>0</v>
      </c>
      <c r="J81" s="221">
        <v>255.99999999999972</v>
      </c>
      <c r="K81" s="214">
        <v>0</v>
      </c>
      <c r="L81" s="224">
        <v>290.99999999999966</v>
      </c>
      <c r="M81" s="224">
        <v>0</v>
      </c>
      <c r="N81" s="224">
        <v>0</v>
      </c>
      <c r="O81" s="224">
        <v>0</v>
      </c>
      <c r="P81" s="224">
        <v>0</v>
      </c>
      <c r="Q81" s="224">
        <v>0</v>
      </c>
      <c r="R81" s="224">
        <v>0</v>
      </c>
      <c r="S81" s="224">
        <v>271.99999999999943</v>
      </c>
      <c r="T81" s="224">
        <v>77.999999999999972</v>
      </c>
      <c r="U81" s="224">
        <v>28.99999999999995</v>
      </c>
      <c r="V81" s="224">
        <v>8</v>
      </c>
      <c r="W81" s="224">
        <v>4</v>
      </c>
      <c r="X81" s="224">
        <v>0</v>
      </c>
      <c r="Y81" s="224">
        <v>0</v>
      </c>
      <c r="Z81" s="224">
        <v>114.56702619414477</v>
      </c>
      <c r="AA81" s="224">
        <v>0</v>
      </c>
      <c r="AB81" s="224">
        <v>251.25432619966486</v>
      </c>
      <c r="AC81" s="224">
        <v>0</v>
      </c>
      <c r="AD81" s="221">
        <v>38.218082191780873</v>
      </c>
      <c r="AE81" s="230">
        <v>0</v>
      </c>
      <c r="AF81" s="128">
        <v>4170582.9000000004</v>
      </c>
      <c r="AG81" s="233">
        <v>3292086.32</v>
      </c>
      <c r="AH81" s="240">
        <v>0</v>
      </c>
      <c r="AI81" s="237">
        <v>138041.70239999986</v>
      </c>
      <c r="AJ81" s="243">
        <v>0</v>
      </c>
      <c r="AK81" s="251">
        <v>384280.63199999952</v>
      </c>
      <c r="AL81" s="259">
        <v>0</v>
      </c>
      <c r="AM81" s="256">
        <v>0</v>
      </c>
      <c r="AN81" s="243">
        <v>0</v>
      </c>
      <c r="AO81" s="129">
        <v>0</v>
      </c>
      <c r="AP81" s="129">
        <v>0</v>
      </c>
      <c r="AQ81" s="129">
        <v>0</v>
      </c>
      <c r="AR81" s="129">
        <v>101770.5407999998</v>
      </c>
      <c r="AS81" s="129">
        <v>38626.145999999986</v>
      </c>
      <c r="AT81" s="129">
        <v>20105.404199999964</v>
      </c>
      <c r="AU81" s="129">
        <v>6074.5392000000002</v>
      </c>
      <c r="AV81" s="129">
        <v>3257.3616000000002</v>
      </c>
      <c r="AW81" s="129">
        <v>0</v>
      </c>
      <c r="AX81" s="129">
        <v>0</v>
      </c>
      <c r="AY81" s="129">
        <v>199831.14098828955</v>
      </c>
      <c r="AZ81" s="129">
        <v>0</v>
      </c>
      <c r="BA81" s="129">
        <v>490779.22106218763</v>
      </c>
      <c r="BB81" s="129">
        <v>0</v>
      </c>
      <c r="BC81" s="129">
        <v>58039.309605698712</v>
      </c>
      <c r="BD81" s="129"/>
      <c r="BE81" s="129"/>
      <c r="BF81" s="251">
        <v>144204.28</v>
      </c>
      <c r="BG81" s="259">
        <v>38070</v>
      </c>
      <c r="BH81" s="256">
        <v>0</v>
      </c>
      <c r="BI81" s="243"/>
      <c r="BJ81" s="129"/>
      <c r="BK81" s="129"/>
      <c r="BL81" s="251">
        <v>7462669.2200000007</v>
      </c>
      <c r="BM81" s="259">
        <v>1440805.9978561751</v>
      </c>
      <c r="BN81" s="259">
        <v>182274.28</v>
      </c>
      <c r="BO81" s="259">
        <v>768584.69813322648</v>
      </c>
      <c r="BP81" s="136">
        <v>9085749.4978561755</v>
      </c>
      <c r="BQ81" s="136">
        <v>0</v>
      </c>
      <c r="BR81" s="267">
        <v>9085749.4978561755</v>
      </c>
      <c r="BS81" s="136">
        <v>8903475.2178561762</v>
      </c>
      <c r="BT81" s="271">
        <v>6765.5586761825043</v>
      </c>
      <c r="BU81" s="271">
        <v>6570.8395666916749</v>
      </c>
      <c r="BV81" s="275">
        <v>2.9633824949536505E-2</v>
      </c>
      <c r="BW81" s="275">
        <v>0</v>
      </c>
      <c r="BX81" s="278">
        <v>0</v>
      </c>
      <c r="BY81" s="288">
        <v>9085749.4978561755</v>
      </c>
      <c r="BZ81" s="256">
        <v>0</v>
      </c>
      <c r="CA81" s="263">
        <v>0</v>
      </c>
      <c r="CB81" s="296">
        <v>9085749.4978561755</v>
      </c>
      <c r="CC81" s="2"/>
      <c r="CD81" s="521"/>
      <c r="CE81" s="523"/>
      <c r="CF81" s="514"/>
      <c r="CG81" s="100"/>
      <c r="CH81" s="565">
        <v>0</v>
      </c>
      <c r="CI81" s="114">
        <v>195043.79333333333</v>
      </c>
      <c r="CK81" s="111"/>
      <c r="CL81" s="111"/>
      <c r="CM81" s="556"/>
      <c r="CN81" s="560"/>
      <c r="CO81" s="2">
        <v>0</v>
      </c>
      <c r="CP81" s="571"/>
      <c r="CQ81" s="547"/>
      <c r="CR81" s="544"/>
      <c r="CS81" s="114"/>
      <c r="CT81" s="2"/>
    </row>
    <row r="82" spans="1:98" ht="14" x14ac:dyDescent="0.25">
      <c r="A82" s="60">
        <v>3125402</v>
      </c>
      <c r="B82" s="145">
        <v>5402</v>
      </c>
      <c r="C82" s="211" t="s">
        <v>178</v>
      </c>
      <c r="D82" s="217">
        <v>1216</v>
      </c>
      <c r="E82" s="224">
        <v>0</v>
      </c>
      <c r="F82" s="224">
        <v>1216</v>
      </c>
      <c r="G82" s="224">
        <v>728</v>
      </c>
      <c r="H82" s="224">
        <v>488</v>
      </c>
      <c r="I82" s="224">
        <v>0</v>
      </c>
      <c r="J82" s="221">
        <v>134.00000000000045</v>
      </c>
      <c r="K82" s="214">
        <v>0</v>
      </c>
      <c r="L82" s="224">
        <v>158.99999999999949</v>
      </c>
      <c r="M82" s="224">
        <v>0</v>
      </c>
      <c r="N82" s="224">
        <v>0</v>
      </c>
      <c r="O82" s="224">
        <v>0</v>
      </c>
      <c r="P82" s="224">
        <v>0</v>
      </c>
      <c r="Q82" s="224">
        <v>0</v>
      </c>
      <c r="R82" s="224">
        <v>0</v>
      </c>
      <c r="S82" s="224">
        <v>126.00000000000051</v>
      </c>
      <c r="T82" s="224">
        <v>44.000000000000007</v>
      </c>
      <c r="U82" s="224">
        <v>2.9999999999999942</v>
      </c>
      <c r="V82" s="224">
        <v>1.9999999999999962</v>
      </c>
      <c r="W82" s="224">
        <v>0</v>
      </c>
      <c r="X82" s="224">
        <v>0</v>
      </c>
      <c r="Y82" s="224">
        <v>0</v>
      </c>
      <c r="Z82" s="224">
        <v>19</v>
      </c>
      <c r="AA82" s="224">
        <v>0</v>
      </c>
      <c r="AB82" s="224">
        <v>184.4505208050048</v>
      </c>
      <c r="AC82" s="224">
        <v>0</v>
      </c>
      <c r="AD82" s="221">
        <v>0</v>
      </c>
      <c r="AE82" s="230">
        <v>0</v>
      </c>
      <c r="AF82" s="128">
        <v>3922718.8000000003</v>
      </c>
      <c r="AG82" s="233">
        <v>2964092.48</v>
      </c>
      <c r="AH82" s="240">
        <v>0</v>
      </c>
      <c r="AI82" s="237">
        <v>72256.203600000255</v>
      </c>
      <c r="AJ82" s="243">
        <v>0</v>
      </c>
      <c r="AK82" s="251">
        <v>209967.76799999931</v>
      </c>
      <c r="AL82" s="259">
        <v>0</v>
      </c>
      <c r="AM82" s="256">
        <v>0</v>
      </c>
      <c r="AN82" s="243">
        <v>0</v>
      </c>
      <c r="AO82" s="129">
        <v>0</v>
      </c>
      <c r="AP82" s="129">
        <v>0</v>
      </c>
      <c r="AQ82" s="129">
        <v>0</v>
      </c>
      <c r="AR82" s="129">
        <v>47143.706400000192</v>
      </c>
      <c r="AS82" s="129">
        <v>21789.108000000004</v>
      </c>
      <c r="AT82" s="129">
        <v>2079.8693999999959</v>
      </c>
      <c r="AU82" s="129">
        <v>1518.6347999999971</v>
      </c>
      <c r="AV82" s="129">
        <v>0</v>
      </c>
      <c r="AW82" s="129">
        <v>0</v>
      </c>
      <c r="AX82" s="129">
        <v>0</v>
      </c>
      <c r="AY82" s="129">
        <v>33140.352899999998</v>
      </c>
      <c r="AZ82" s="129">
        <v>0</v>
      </c>
      <c r="BA82" s="129">
        <v>360290.24572200916</v>
      </c>
      <c r="BB82" s="129">
        <v>0</v>
      </c>
      <c r="BC82" s="129">
        <v>0</v>
      </c>
      <c r="BD82" s="129"/>
      <c r="BE82" s="129"/>
      <c r="BF82" s="251">
        <v>144204.28</v>
      </c>
      <c r="BG82" s="259">
        <v>33558</v>
      </c>
      <c r="BH82" s="256">
        <v>0</v>
      </c>
      <c r="BI82" s="243"/>
      <c r="BJ82" s="129"/>
      <c r="BK82" s="129"/>
      <c r="BL82" s="251">
        <v>6886811.2800000003</v>
      </c>
      <c r="BM82" s="259">
        <v>748185.88882200897</v>
      </c>
      <c r="BN82" s="259">
        <v>177762.28</v>
      </c>
      <c r="BO82" s="259">
        <v>548588.71639882727</v>
      </c>
      <c r="BP82" s="136">
        <v>7812759.4488220094</v>
      </c>
      <c r="BQ82" s="136">
        <v>0</v>
      </c>
      <c r="BR82" s="267">
        <v>7812759.4488220103</v>
      </c>
      <c r="BS82" s="136">
        <v>7634997.1688220091</v>
      </c>
      <c r="BT82" s="271">
        <v>6278.7805664654679</v>
      </c>
      <c r="BU82" s="271">
        <v>6206.5527803292889</v>
      </c>
      <c r="BV82" s="275">
        <v>1.1637343416315388E-2</v>
      </c>
      <c r="BW82" s="275">
        <v>0</v>
      </c>
      <c r="BX82" s="278">
        <v>0</v>
      </c>
      <c r="BY82" s="288">
        <v>7812759.4488220094</v>
      </c>
      <c r="BZ82" s="256">
        <v>0</v>
      </c>
      <c r="CA82" s="263">
        <v>0</v>
      </c>
      <c r="CB82" s="296">
        <v>7812759.4488220094</v>
      </c>
      <c r="CC82" s="2"/>
      <c r="CD82" s="521"/>
      <c r="CE82" s="523"/>
      <c r="CF82" s="514"/>
      <c r="CG82" s="100"/>
      <c r="CH82" s="565">
        <v>108000</v>
      </c>
      <c r="CI82" s="114">
        <v>469313.33333333343</v>
      </c>
      <c r="CK82" s="111"/>
      <c r="CL82" s="111"/>
      <c r="CM82" s="556"/>
      <c r="CN82" s="560"/>
      <c r="CO82" s="2">
        <v>0</v>
      </c>
      <c r="CP82" s="571"/>
      <c r="CQ82" s="547"/>
      <c r="CR82" s="544"/>
      <c r="CS82" s="114"/>
      <c r="CT82" s="2"/>
    </row>
    <row r="83" spans="1:98" ht="14" x14ac:dyDescent="0.25">
      <c r="A83" s="60">
        <v>3125403</v>
      </c>
      <c r="B83" s="145">
        <v>5403</v>
      </c>
      <c r="C83" s="211" t="s">
        <v>143</v>
      </c>
      <c r="D83" s="217">
        <v>1202</v>
      </c>
      <c r="E83" s="224">
        <v>0</v>
      </c>
      <c r="F83" s="224">
        <v>1202</v>
      </c>
      <c r="G83" s="224">
        <v>721</v>
      </c>
      <c r="H83" s="224">
        <v>481</v>
      </c>
      <c r="I83" s="224">
        <v>0</v>
      </c>
      <c r="J83" s="221">
        <v>247.00000000000057</v>
      </c>
      <c r="K83" s="214">
        <v>0</v>
      </c>
      <c r="L83" s="224">
        <v>266.00000000000006</v>
      </c>
      <c r="M83" s="224">
        <v>0</v>
      </c>
      <c r="N83" s="224">
        <v>0</v>
      </c>
      <c r="O83" s="224">
        <v>0</v>
      </c>
      <c r="P83" s="224">
        <v>0</v>
      </c>
      <c r="Q83" s="224">
        <v>0</v>
      </c>
      <c r="R83" s="224">
        <v>0</v>
      </c>
      <c r="S83" s="224">
        <v>333.00000000000028</v>
      </c>
      <c r="T83" s="224">
        <v>22.000000000000018</v>
      </c>
      <c r="U83" s="224">
        <v>14.000000000000055</v>
      </c>
      <c r="V83" s="224">
        <v>51.999999999999993</v>
      </c>
      <c r="W83" s="224">
        <v>1.0000000000000002</v>
      </c>
      <c r="X83" s="224">
        <v>0</v>
      </c>
      <c r="Y83" s="224">
        <v>0</v>
      </c>
      <c r="Z83" s="224">
        <v>42.387909319899215</v>
      </c>
      <c r="AA83" s="224">
        <v>0</v>
      </c>
      <c r="AB83" s="224">
        <v>207.97912729021368</v>
      </c>
      <c r="AC83" s="224">
        <v>0</v>
      </c>
      <c r="AD83" s="221">
        <v>0</v>
      </c>
      <c r="AE83" s="230">
        <v>0</v>
      </c>
      <c r="AF83" s="128">
        <v>3885000.35</v>
      </c>
      <c r="AG83" s="233">
        <v>2921574.7600000002</v>
      </c>
      <c r="AH83" s="240">
        <v>0</v>
      </c>
      <c r="AI83" s="237">
        <v>133188.67380000031</v>
      </c>
      <c r="AJ83" s="243">
        <v>0</v>
      </c>
      <c r="AK83" s="251">
        <v>351266.83200000005</v>
      </c>
      <c r="AL83" s="259">
        <v>0</v>
      </c>
      <c r="AM83" s="256">
        <v>0</v>
      </c>
      <c r="AN83" s="243">
        <v>0</v>
      </c>
      <c r="AO83" s="129">
        <v>0</v>
      </c>
      <c r="AP83" s="129">
        <v>0</v>
      </c>
      <c r="AQ83" s="129">
        <v>0</v>
      </c>
      <c r="AR83" s="129">
        <v>124594.08120000012</v>
      </c>
      <c r="AS83" s="129">
        <v>10894.554000000009</v>
      </c>
      <c r="AT83" s="129">
        <v>9706.0572000000375</v>
      </c>
      <c r="AU83" s="129">
        <v>39484.504799999995</v>
      </c>
      <c r="AV83" s="129">
        <v>814.34040000000027</v>
      </c>
      <c r="AW83" s="129">
        <v>0</v>
      </c>
      <c r="AX83" s="129">
        <v>0</v>
      </c>
      <c r="AY83" s="129">
        <v>73934.224923929418</v>
      </c>
      <c r="AZ83" s="129">
        <v>0</v>
      </c>
      <c r="BA83" s="129">
        <v>406249.06099157466</v>
      </c>
      <c r="BB83" s="129">
        <v>0</v>
      </c>
      <c r="BC83" s="129">
        <v>0</v>
      </c>
      <c r="BD83" s="129"/>
      <c r="BE83" s="129"/>
      <c r="BF83" s="251">
        <v>144204.28</v>
      </c>
      <c r="BG83" s="259">
        <v>41454</v>
      </c>
      <c r="BH83" s="256">
        <v>0</v>
      </c>
      <c r="BI83" s="243"/>
      <c r="BJ83" s="129"/>
      <c r="BK83" s="129"/>
      <c r="BL83" s="251">
        <v>6806575.1100000003</v>
      </c>
      <c r="BM83" s="259">
        <v>1150132.3293155045</v>
      </c>
      <c r="BN83" s="259">
        <v>185658.28</v>
      </c>
      <c r="BO83" s="259">
        <v>670418.7610771755</v>
      </c>
      <c r="BP83" s="136">
        <v>8142365.7193155056</v>
      </c>
      <c r="BQ83" s="136">
        <v>0</v>
      </c>
      <c r="BR83" s="267">
        <v>8142365.7193155056</v>
      </c>
      <c r="BS83" s="136">
        <v>7956707.4393155053</v>
      </c>
      <c r="BT83" s="271">
        <v>6619.5569378664768</v>
      </c>
      <c r="BU83" s="271">
        <v>6525.9580745212324</v>
      </c>
      <c r="BV83" s="275">
        <v>1.4342547450722184E-2</v>
      </c>
      <c r="BW83" s="275">
        <v>0</v>
      </c>
      <c r="BX83" s="278">
        <v>0</v>
      </c>
      <c r="BY83" s="288">
        <v>8142365.7193155056</v>
      </c>
      <c r="BZ83" s="256">
        <v>0</v>
      </c>
      <c r="CA83" s="263">
        <v>0</v>
      </c>
      <c r="CB83" s="296">
        <v>8142365.7193155056</v>
      </c>
      <c r="CC83" s="2"/>
      <c r="CD83" s="521"/>
      <c r="CE83" s="523"/>
      <c r="CF83" s="514"/>
      <c r="CG83" s="100"/>
      <c r="CH83" s="565">
        <v>0</v>
      </c>
      <c r="CI83" s="114">
        <v>86085.666666666657</v>
      </c>
      <c r="CK83" s="111"/>
      <c r="CL83" s="111"/>
      <c r="CM83" s="556"/>
      <c r="CN83" s="560"/>
      <c r="CO83" s="2">
        <v>0</v>
      </c>
      <c r="CP83" s="571"/>
      <c r="CQ83" s="547"/>
      <c r="CR83" s="544"/>
      <c r="CS83" s="114"/>
      <c r="CT83" s="2"/>
    </row>
    <row r="84" spans="1:98" ht="14" x14ac:dyDescent="0.25">
      <c r="A84" s="60">
        <v>3125404</v>
      </c>
      <c r="B84" s="145">
        <v>5404</v>
      </c>
      <c r="C84" s="211" t="s">
        <v>177</v>
      </c>
      <c r="D84" s="217">
        <v>1160</v>
      </c>
      <c r="E84" s="224">
        <v>0</v>
      </c>
      <c r="F84" s="224">
        <v>1160</v>
      </c>
      <c r="G84" s="224">
        <v>700</v>
      </c>
      <c r="H84" s="224">
        <v>460</v>
      </c>
      <c r="I84" s="224">
        <v>0</v>
      </c>
      <c r="J84" s="221">
        <v>373.99999999999966</v>
      </c>
      <c r="K84" s="214">
        <v>0</v>
      </c>
      <c r="L84" s="224">
        <v>429.00000000000051</v>
      </c>
      <c r="M84" s="224">
        <v>0</v>
      </c>
      <c r="N84" s="224">
        <v>0</v>
      </c>
      <c r="O84" s="224">
        <v>0</v>
      </c>
      <c r="P84" s="224">
        <v>0</v>
      </c>
      <c r="Q84" s="224">
        <v>0</v>
      </c>
      <c r="R84" s="224">
        <v>0</v>
      </c>
      <c r="S84" s="224">
        <v>281.72860847018114</v>
      </c>
      <c r="T84" s="224">
        <v>404.04494382022466</v>
      </c>
      <c r="U84" s="224">
        <v>74.191875540190097</v>
      </c>
      <c r="V84" s="224">
        <v>71.18409680207435</v>
      </c>
      <c r="W84" s="224">
        <v>0</v>
      </c>
      <c r="X84" s="224">
        <v>0</v>
      </c>
      <c r="Y84" s="224">
        <v>0</v>
      </c>
      <c r="Z84" s="224">
        <v>78.573975044563284</v>
      </c>
      <c r="AA84" s="224">
        <v>0</v>
      </c>
      <c r="AB84" s="224">
        <v>274.76983382139042</v>
      </c>
      <c r="AC84" s="224">
        <v>0</v>
      </c>
      <c r="AD84" s="221">
        <v>0</v>
      </c>
      <c r="AE84" s="230">
        <v>0</v>
      </c>
      <c r="AF84" s="128">
        <v>3771845.0000000005</v>
      </c>
      <c r="AG84" s="233">
        <v>2794021.6</v>
      </c>
      <c r="AH84" s="240">
        <v>0</v>
      </c>
      <c r="AI84" s="237">
        <v>201670.29959999982</v>
      </c>
      <c r="AJ84" s="243">
        <v>0</v>
      </c>
      <c r="AK84" s="251">
        <v>566516.80800000066</v>
      </c>
      <c r="AL84" s="259">
        <v>0</v>
      </c>
      <c r="AM84" s="256">
        <v>0</v>
      </c>
      <c r="AN84" s="243">
        <v>0</v>
      </c>
      <c r="AO84" s="129">
        <v>0</v>
      </c>
      <c r="AP84" s="129">
        <v>0</v>
      </c>
      <c r="AQ84" s="129">
        <v>0</v>
      </c>
      <c r="AR84" s="129">
        <v>105410.5619222125</v>
      </c>
      <c r="AS84" s="129">
        <v>200085.88449438199</v>
      </c>
      <c r="AT84" s="129">
        <v>51436.470554883286</v>
      </c>
      <c r="AU84" s="129">
        <v>54051.323305099409</v>
      </c>
      <c r="AV84" s="129">
        <v>0</v>
      </c>
      <c r="AW84" s="129">
        <v>0</v>
      </c>
      <c r="AX84" s="129">
        <v>0</v>
      </c>
      <c r="AY84" s="129">
        <v>137051.01377540108</v>
      </c>
      <c r="AZ84" s="129">
        <v>0</v>
      </c>
      <c r="BA84" s="129">
        <v>536712.45010557992</v>
      </c>
      <c r="BB84" s="129">
        <v>0</v>
      </c>
      <c r="BC84" s="129">
        <v>0</v>
      </c>
      <c r="BD84" s="129"/>
      <c r="BE84" s="129"/>
      <c r="BF84" s="251">
        <v>144204.28</v>
      </c>
      <c r="BG84" s="259">
        <v>43710</v>
      </c>
      <c r="BH84" s="256">
        <v>0</v>
      </c>
      <c r="BI84" s="243"/>
      <c r="BJ84" s="129"/>
      <c r="BK84" s="129"/>
      <c r="BL84" s="251">
        <v>6565866.6000000006</v>
      </c>
      <c r="BM84" s="259">
        <v>1852934.811757559</v>
      </c>
      <c r="BN84" s="259">
        <v>187914.28</v>
      </c>
      <c r="BO84" s="259">
        <v>920409.64127955621</v>
      </c>
      <c r="BP84" s="136">
        <v>8606715.6917575579</v>
      </c>
      <c r="BQ84" s="136">
        <v>0</v>
      </c>
      <c r="BR84" s="267">
        <v>8606715.6917575579</v>
      </c>
      <c r="BS84" s="136">
        <v>8418801.4117575586</v>
      </c>
      <c r="BT84" s="271">
        <v>7257.5874239289296</v>
      </c>
      <c r="BU84" s="271">
        <v>7064.4894858030166</v>
      </c>
      <c r="BV84" s="275">
        <v>2.73336011772638E-2</v>
      </c>
      <c r="BW84" s="275">
        <v>0</v>
      </c>
      <c r="BX84" s="278">
        <v>0</v>
      </c>
      <c r="BY84" s="288">
        <v>8606715.6917575579</v>
      </c>
      <c r="BZ84" s="256">
        <v>0</v>
      </c>
      <c r="CA84" s="263">
        <v>0</v>
      </c>
      <c r="CB84" s="296">
        <v>8606715.6917575579</v>
      </c>
      <c r="CC84" s="2"/>
      <c r="CD84" s="521"/>
      <c r="CE84" s="523"/>
      <c r="CF84" s="514"/>
      <c r="CG84" s="100">
        <v>22508.33</v>
      </c>
      <c r="CH84" s="565">
        <v>0</v>
      </c>
      <c r="CI84" s="114">
        <v>217587.66666666666</v>
      </c>
      <c r="CK84" s="111"/>
      <c r="CL84" s="111"/>
      <c r="CM84" s="556"/>
      <c r="CN84" s="560"/>
      <c r="CO84" s="2">
        <v>0</v>
      </c>
      <c r="CP84" s="571"/>
      <c r="CQ84" s="547"/>
      <c r="CR84" s="544"/>
      <c r="CS84" s="114"/>
      <c r="CT84" s="2"/>
    </row>
    <row r="85" spans="1:98" ht="14" x14ac:dyDescent="0.25">
      <c r="A85" s="60">
        <v>3125405</v>
      </c>
      <c r="B85" s="145">
        <v>5405</v>
      </c>
      <c r="C85" s="211" t="s">
        <v>132</v>
      </c>
      <c r="D85" s="217">
        <v>892</v>
      </c>
      <c r="E85" s="224">
        <v>0</v>
      </c>
      <c r="F85" s="224">
        <v>892</v>
      </c>
      <c r="G85" s="224">
        <v>535</v>
      </c>
      <c r="H85" s="224">
        <v>357</v>
      </c>
      <c r="I85" s="224">
        <v>0</v>
      </c>
      <c r="J85" s="221">
        <v>163.99999999999957</v>
      </c>
      <c r="K85" s="214">
        <v>0</v>
      </c>
      <c r="L85" s="224">
        <v>177.00000000000037</v>
      </c>
      <c r="M85" s="224">
        <v>0</v>
      </c>
      <c r="N85" s="224">
        <v>0</v>
      </c>
      <c r="O85" s="224">
        <v>0</v>
      </c>
      <c r="P85" s="224">
        <v>0</v>
      </c>
      <c r="Q85" s="224">
        <v>0</v>
      </c>
      <c r="R85" s="224">
        <v>0</v>
      </c>
      <c r="S85" s="224">
        <v>145.99999999999994</v>
      </c>
      <c r="T85" s="224">
        <v>7.9999999999999982</v>
      </c>
      <c r="U85" s="224">
        <v>72.000000000000028</v>
      </c>
      <c r="V85" s="224">
        <v>4.0000000000000036</v>
      </c>
      <c r="W85" s="224">
        <v>0</v>
      </c>
      <c r="X85" s="224">
        <v>0</v>
      </c>
      <c r="Y85" s="224">
        <v>0</v>
      </c>
      <c r="Z85" s="224">
        <v>44.999999999999964</v>
      </c>
      <c r="AA85" s="224">
        <v>0</v>
      </c>
      <c r="AB85" s="224">
        <v>186.43627060466736</v>
      </c>
      <c r="AC85" s="224">
        <v>0</v>
      </c>
      <c r="AD85" s="221">
        <v>0</v>
      </c>
      <c r="AE85" s="230">
        <v>0</v>
      </c>
      <c r="AF85" s="128">
        <v>2882767.25</v>
      </c>
      <c r="AG85" s="233">
        <v>2168403.7200000002</v>
      </c>
      <c r="AH85" s="240">
        <v>0</v>
      </c>
      <c r="AI85" s="237">
        <v>88432.965599999778</v>
      </c>
      <c r="AJ85" s="243">
        <v>0</v>
      </c>
      <c r="AK85" s="251">
        <v>233737.70400000046</v>
      </c>
      <c r="AL85" s="259">
        <v>0</v>
      </c>
      <c r="AM85" s="256">
        <v>0</v>
      </c>
      <c r="AN85" s="243">
        <v>0</v>
      </c>
      <c r="AO85" s="129">
        <v>0</v>
      </c>
      <c r="AP85" s="129">
        <v>0</v>
      </c>
      <c r="AQ85" s="129">
        <v>0</v>
      </c>
      <c r="AR85" s="129">
        <v>54626.834399999978</v>
      </c>
      <c r="AS85" s="129">
        <v>3961.655999999999</v>
      </c>
      <c r="AT85" s="129">
        <v>49916.865600000019</v>
      </c>
      <c r="AU85" s="129">
        <v>3037.2696000000028</v>
      </c>
      <c r="AV85" s="129">
        <v>0</v>
      </c>
      <c r="AW85" s="129">
        <v>0</v>
      </c>
      <c r="AX85" s="129">
        <v>0</v>
      </c>
      <c r="AY85" s="129">
        <v>78490.309499999945</v>
      </c>
      <c r="AZ85" s="129">
        <v>0</v>
      </c>
      <c r="BA85" s="129">
        <v>364169.04357056168</v>
      </c>
      <c r="BB85" s="129">
        <v>0</v>
      </c>
      <c r="BC85" s="129">
        <v>0</v>
      </c>
      <c r="BD85" s="129"/>
      <c r="BE85" s="129"/>
      <c r="BF85" s="251">
        <v>144204.28</v>
      </c>
      <c r="BG85" s="259">
        <v>64196</v>
      </c>
      <c r="BH85" s="256">
        <v>0</v>
      </c>
      <c r="BI85" s="243"/>
      <c r="BJ85" s="129"/>
      <c r="BK85" s="129"/>
      <c r="BL85" s="251">
        <v>5051170.9700000007</v>
      </c>
      <c r="BM85" s="259">
        <v>876372.64827056194</v>
      </c>
      <c r="BN85" s="259">
        <v>208400.28</v>
      </c>
      <c r="BO85" s="259">
        <v>530856.43814615521</v>
      </c>
      <c r="BP85" s="136">
        <v>6135943.8982705632</v>
      </c>
      <c r="BQ85" s="136">
        <v>0</v>
      </c>
      <c r="BR85" s="267">
        <v>6135943.8982705632</v>
      </c>
      <c r="BS85" s="136">
        <v>5927543.618270563</v>
      </c>
      <c r="BT85" s="271">
        <v>6645.2282716037698</v>
      </c>
      <c r="BU85" s="271">
        <v>6615.2850848824182</v>
      </c>
      <c r="BV85" s="275">
        <v>4.526363767720195E-3</v>
      </c>
      <c r="BW85" s="275">
        <v>4.7363623227980513E-4</v>
      </c>
      <c r="BX85" s="278">
        <v>2794.8489231299654</v>
      </c>
      <c r="BY85" s="288">
        <v>6138738.7471936932</v>
      </c>
      <c r="BZ85" s="256">
        <v>0</v>
      </c>
      <c r="CA85" s="263">
        <v>0</v>
      </c>
      <c r="CB85" s="296">
        <v>6138738.7471936932</v>
      </c>
      <c r="CC85" s="2"/>
      <c r="CD85" s="521"/>
      <c r="CE85" s="523"/>
      <c r="CF85" s="514"/>
      <c r="CG85" s="100"/>
      <c r="CH85" s="565">
        <v>60000</v>
      </c>
      <c r="CI85" s="114">
        <v>222984.43333333329</v>
      </c>
      <c r="CK85" s="111"/>
      <c r="CL85" s="111"/>
      <c r="CM85" s="556"/>
      <c r="CN85" s="560"/>
      <c r="CO85" s="2">
        <v>0</v>
      </c>
      <c r="CP85" s="571"/>
      <c r="CQ85" s="547"/>
      <c r="CR85" s="544"/>
      <c r="CS85" s="114"/>
      <c r="CT85" s="2"/>
    </row>
    <row r="86" spans="1:98" ht="14" x14ac:dyDescent="0.25">
      <c r="A86" s="60">
        <v>3125406</v>
      </c>
      <c r="B86" s="145">
        <v>5406</v>
      </c>
      <c r="C86" s="211" t="s">
        <v>146</v>
      </c>
      <c r="D86" s="217">
        <v>818</v>
      </c>
      <c r="E86" s="224">
        <v>0</v>
      </c>
      <c r="F86" s="224">
        <v>818</v>
      </c>
      <c r="G86" s="224">
        <v>528</v>
      </c>
      <c r="H86" s="224">
        <v>290</v>
      </c>
      <c r="I86" s="224">
        <v>0</v>
      </c>
      <c r="J86" s="221">
        <v>181.00000000000017</v>
      </c>
      <c r="K86" s="214">
        <v>0</v>
      </c>
      <c r="L86" s="224">
        <v>259.99999999999983</v>
      </c>
      <c r="M86" s="224">
        <v>0</v>
      </c>
      <c r="N86" s="224">
        <v>0</v>
      </c>
      <c r="O86" s="224">
        <v>0</v>
      </c>
      <c r="P86" s="224">
        <v>0</v>
      </c>
      <c r="Q86" s="224">
        <v>0</v>
      </c>
      <c r="R86" s="224">
        <v>0</v>
      </c>
      <c r="S86" s="224">
        <v>259.00000000000028</v>
      </c>
      <c r="T86" s="224">
        <v>311.00000000000011</v>
      </c>
      <c r="U86" s="224">
        <v>9.000000000000032</v>
      </c>
      <c r="V86" s="224">
        <v>0.999999999999998</v>
      </c>
      <c r="W86" s="224">
        <v>1.999999999999996</v>
      </c>
      <c r="X86" s="224">
        <v>0</v>
      </c>
      <c r="Y86" s="224">
        <v>0</v>
      </c>
      <c r="Z86" s="224">
        <v>66.161764705882376</v>
      </c>
      <c r="AA86" s="224">
        <v>0</v>
      </c>
      <c r="AB86" s="224">
        <v>181.07606756618361</v>
      </c>
      <c r="AC86" s="224">
        <v>0</v>
      </c>
      <c r="AD86" s="221">
        <v>16.319753997539987</v>
      </c>
      <c r="AE86" s="230">
        <v>0</v>
      </c>
      <c r="AF86" s="128">
        <v>2845048.8000000003</v>
      </c>
      <c r="AG86" s="233">
        <v>1761448.4</v>
      </c>
      <c r="AH86" s="240">
        <v>0</v>
      </c>
      <c r="AI86" s="237">
        <v>97599.797400000098</v>
      </c>
      <c r="AJ86" s="243">
        <v>0</v>
      </c>
      <c r="AK86" s="251">
        <v>343343.51999999973</v>
      </c>
      <c r="AL86" s="259">
        <v>0</v>
      </c>
      <c r="AM86" s="256">
        <v>0</v>
      </c>
      <c r="AN86" s="243">
        <v>0</v>
      </c>
      <c r="AO86" s="129">
        <v>0</v>
      </c>
      <c r="AP86" s="129">
        <v>0</v>
      </c>
      <c r="AQ86" s="129">
        <v>0</v>
      </c>
      <c r="AR86" s="129">
        <v>96906.507600000114</v>
      </c>
      <c r="AS86" s="129">
        <v>154009.37700000007</v>
      </c>
      <c r="AT86" s="129">
        <v>6239.6082000000224</v>
      </c>
      <c r="AU86" s="129">
        <v>759.31739999999854</v>
      </c>
      <c r="AV86" s="129">
        <v>1628.6807999999969</v>
      </c>
      <c r="AW86" s="129">
        <v>0</v>
      </c>
      <c r="AX86" s="129">
        <v>0</v>
      </c>
      <c r="AY86" s="129">
        <v>115401.27530735299</v>
      </c>
      <c r="AZ86" s="129">
        <v>0</v>
      </c>
      <c r="BA86" s="129">
        <v>353698.8705321413</v>
      </c>
      <c r="BB86" s="129">
        <v>0</v>
      </c>
      <c r="BC86" s="129">
        <v>24783.746348103341</v>
      </c>
      <c r="BD86" s="129"/>
      <c r="BE86" s="129"/>
      <c r="BF86" s="251">
        <v>144204.28</v>
      </c>
      <c r="BG86" s="259">
        <v>38702</v>
      </c>
      <c r="BH86" s="256">
        <v>0</v>
      </c>
      <c r="BI86" s="243"/>
      <c r="BJ86" s="129"/>
      <c r="BK86" s="129"/>
      <c r="BL86" s="251">
        <v>4606497.2</v>
      </c>
      <c r="BM86" s="259">
        <v>1194370.7005875974</v>
      </c>
      <c r="BN86" s="259">
        <v>182906.28</v>
      </c>
      <c r="BO86" s="259">
        <v>603451.93490324996</v>
      </c>
      <c r="BP86" s="136">
        <v>5983774.1805875981</v>
      </c>
      <c r="BQ86" s="136">
        <v>0</v>
      </c>
      <c r="BR86" s="267">
        <v>5983774.1805875981</v>
      </c>
      <c r="BS86" s="136">
        <v>5800867.9005875979</v>
      </c>
      <c r="BT86" s="271">
        <v>7091.5255508405844</v>
      </c>
      <c r="BU86" s="271">
        <v>7135.1357188633619</v>
      </c>
      <c r="BV86" s="275">
        <v>-6.1120306243767865E-3</v>
      </c>
      <c r="BW86" s="275">
        <v>1.1112030624376787E-2</v>
      </c>
      <c r="BX86" s="278">
        <v>64855.822532783175</v>
      </c>
      <c r="BY86" s="288">
        <v>6048630.0031203814</v>
      </c>
      <c r="BZ86" s="256">
        <v>0</v>
      </c>
      <c r="CA86" s="263">
        <v>0</v>
      </c>
      <c r="CB86" s="296">
        <v>6048630.0031203814</v>
      </c>
      <c r="CC86" s="2"/>
      <c r="CD86" s="521"/>
      <c r="CE86" s="523"/>
      <c r="CF86" s="514"/>
      <c r="CG86" s="100"/>
      <c r="CH86" s="565">
        <v>0</v>
      </c>
      <c r="CI86" s="114">
        <v>127832.33333333333</v>
      </c>
      <c r="CK86" s="111"/>
      <c r="CL86" s="111"/>
      <c r="CM86" s="556"/>
      <c r="CN86" s="560"/>
      <c r="CO86" s="2">
        <v>0</v>
      </c>
      <c r="CP86" s="571"/>
      <c r="CQ86" s="547"/>
      <c r="CR86" s="544"/>
      <c r="CS86" s="114"/>
      <c r="CT86" s="2"/>
    </row>
    <row r="87" spans="1:98" ht="14" x14ac:dyDescent="0.25">
      <c r="A87" s="60">
        <v>3125407</v>
      </c>
      <c r="B87" s="145">
        <v>5407</v>
      </c>
      <c r="C87" s="211" t="s">
        <v>104</v>
      </c>
      <c r="D87" s="217">
        <v>471</v>
      </c>
      <c r="E87" s="224">
        <v>0</v>
      </c>
      <c r="F87" s="224">
        <v>471</v>
      </c>
      <c r="G87" s="224">
        <v>295</v>
      </c>
      <c r="H87" s="224">
        <v>176</v>
      </c>
      <c r="I87" s="224">
        <v>0</v>
      </c>
      <c r="J87" s="221">
        <v>126</v>
      </c>
      <c r="K87" s="214">
        <v>0</v>
      </c>
      <c r="L87" s="224">
        <v>180.99999999999991</v>
      </c>
      <c r="M87" s="224">
        <v>0</v>
      </c>
      <c r="N87" s="224">
        <v>0</v>
      </c>
      <c r="O87" s="224">
        <v>0</v>
      </c>
      <c r="P87" s="224">
        <v>0</v>
      </c>
      <c r="Q87" s="224">
        <v>0</v>
      </c>
      <c r="R87" s="224">
        <v>0</v>
      </c>
      <c r="S87" s="224">
        <v>157.99999999999994</v>
      </c>
      <c r="T87" s="224">
        <v>112.00000000000001</v>
      </c>
      <c r="U87" s="224">
        <v>3.0000000000000013</v>
      </c>
      <c r="V87" s="224">
        <v>5.9999999999999938</v>
      </c>
      <c r="W87" s="224">
        <v>12.999999999999995</v>
      </c>
      <c r="X87" s="224">
        <v>0</v>
      </c>
      <c r="Y87" s="224">
        <v>0</v>
      </c>
      <c r="Z87" s="224">
        <v>164.3489361702128</v>
      </c>
      <c r="AA87" s="224">
        <v>0</v>
      </c>
      <c r="AB87" s="224">
        <v>160.81432382758632</v>
      </c>
      <c r="AC87" s="224">
        <v>0</v>
      </c>
      <c r="AD87" s="221">
        <v>30.865531914893612</v>
      </c>
      <c r="AE87" s="230">
        <v>0</v>
      </c>
      <c r="AF87" s="128">
        <v>1589563.25</v>
      </c>
      <c r="AG87" s="233">
        <v>1069016.96</v>
      </c>
      <c r="AH87" s="240">
        <v>0</v>
      </c>
      <c r="AI87" s="237">
        <v>67942.400399999999</v>
      </c>
      <c r="AJ87" s="243">
        <v>0</v>
      </c>
      <c r="AK87" s="251">
        <v>239019.91199999987</v>
      </c>
      <c r="AL87" s="259">
        <v>0</v>
      </c>
      <c r="AM87" s="256">
        <v>0</v>
      </c>
      <c r="AN87" s="243">
        <v>0</v>
      </c>
      <c r="AO87" s="129">
        <v>0</v>
      </c>
      <c r="AP87" s="129">
        <v>0</v>
      </c>
      <c r="AQ87" s="129">
        <v>0</v>
      </c>
      <c r="AR87" s="129">
        <v>59116.711199999983</v>
      </c>
      <c r="AS87" s="129">
        <v>55463.184000000008</v>
      </c>
      <c r="AT87" s="129">
        <v>2079.869400000001</v>
      </c>
      <c r="AU87" s="129">
        <v>4555.9043999999958</v>
      </c>
      <c r="AV87" s="129">
        <v>10586.425199999996</v>
      </c>
      <c r="AW87" s="129">
        <v>0</v>
      </c>
      <c r="AX87" s="129">
        <v>0</v>
      </c>
      <c r="AY87" s="129">
        <v>286662.19702212769</v>
      </c>
      <c r="AZ87" s="129">
        <v>0</v>
      </c>
      <c r="BA87" s="129">
        <v>314121.27216876752</v>
      </c>
      <c r="BB87" s="129">
        <v>0</v>
      </c>
      <c r="BC87" s="129">
        <v>46873.47088646808</v>
      </c>
      <c r="BD87" s="129"/>
      <c r="BE87" s="129"/>
      <c r="BF87" s="251">
        <v>144204.28</v>
      </c>
      <c r="BG87" s="259">
        <v>44072</v>
      </c>
      <c r="BH87" s="256">
        <v>0</v>
      </c>
      <c r="BI87" s="243"/>
      <c r="BJ87" s="129"/>
      <c r="BK87" s="129"/>
      <c r="BL87" s="251">
        <v>2658580.21</v>
      </c>
      <c r="BM87" s="259">
        <v>1086421.3466773632</v>
      </c>
      <c r="BN87" s="259">
        <v>188276.28</v>
      </c>
      <c r="BO87" s="259">
        <v>451003.34650767187</v>
      </c>
      <c r="BP87" s="136">
        <v>3933277.8366773627</v>
      </c>
      <c r="BQ87" s="136">
        <v>0</v>
      </c>
      <c r="BR87" s="267">
        <v>3933277.8366773627</v>
      </c>
      <c r="BS87" s="136">
        <v>3745001.5566773629</v>
      </c>
      <c r="BT87" s="271">
        <v>7951.1710332852717</v>
      </c>
      <c r="BU87" s="271">
        <v>7832.829747379913</v>
      </c>
      <c r="BV87" s="275">
        <v>1.5108369481022359E-2</v>
      </c>
      <c r="BW87" s="275">
        <v>0</v>
      </c>
      <c r="BX87" s="278">
        <v>0</v>
      </c>
      <c r="BY87" s="288">
        <v>3933277.8366773627</v>
      </c>
      <c r="BZ87" s="256">
        <v>0</v>
      </c>
      <c r="CA87" s="263">
        <v>0</v>
      </c>
      <c r="CB87" s="296">
        <v>3933277.8366773627</v>
      </c>
      <c r="CC87" s="2"/>
      <c r="CD87" s="521"/>
      <c r="CE87" s="523"/>
      <c r="CF87" s="514"/>
      <c r="CG87" s="100"/>
      <c r="CH87" s="565">
        <v>0</v>
      </c>
      <c r="CI87" s="114">
        <v>33060.666666666672</v>
      </c>
      <c r="CK87" s="111"/>
      <c r="CL87" s="111"/>
      <c r="CM87" s="556"/>
      <c r="CN87" s="560"/>
      <c r="CO87" s="2">
        <v>0</v>
      </c>
      <c r="CP87" s="571"/>
      <c r="CQ87" s="547"/>
      <c r="CR87" s="544"/>
      <c r="CS87" s="114"/>
      <c r="CT87" s="2"/>
    </row>
    <row r="88" spans="1:98" ht="14" x14ac:dyDescent="0.25">
      <c r="A88" s="60">
        <v>3125408</v>
      </c>
      <c r="B88" s="145">
        <v>5408</v>
      </c>
      <c r="C88" s="211" t="s">
        <v>173</v>
      </c>
      <c r="D88" s="217">
        <v>1245</v>
      </c>
      <c r="E88" s="224">
        <v>0</v>
      </c>
      <c r="F88" s="224">
        <v>1245</v>
      </c>
      <c r="G88" s="224">
        <v>760</v>
      </c>
      <c r="H88" s="224">
        <v>485</v>
      </c>
      <c r="I88" s="224">
        <v>0</v>
      </c>
      <c r="J88" s="221">
        <v>199.99999999999937</v>
      </c>
      <c r="K88" s="214">
        <v>0</v>
      </c>
      <c r="L88" s="224">
        <v>224.99999999999994</v>
      </c>
      <c r="M88" s="224">
        <v>0</v>
      </c>
      <c r="N88" s="224">
        <v>0</v>
      </c>
      <c r="O88" s="224">
        <v>0</v>
      </c>
      <c r="P88" s="224">
        <v>0</v>
      </c>
      <c r="Q88" s="224">
        <v>0</v>
      </c>
      <c r="R88" s="224">
        <v>0</v>
      </c>
      <c r="S88" s="224">
        <v>282.00000000000057</v>
      </c>
      <c r="T88" s="224">
        <v>311.00000000000051</v>
      </c>
      <c r="U88" s="224">
        <v>40.999999999999972</v>
      </c>
      <c r="V88" s="224">
        <v>35.000000000000014</v>
      </c>
      <c r="W88" s="224">
        <v>6.0000000000000062</v>
      </c>
      <c r="X88" s="224">
        <v>0</v>
      </c>
      <c r="Y88" s="224">
        <v>0</v>
      </c>
      <c r="Z88" s="224">
        <v>25.182038834951481</v>
      </c>
      <c r="AA88" s="224">
        <v>0</v>
      </c>
      <c r="AB88" s="224">
        <v>222.10677402242163</v>
      </c>
      <c r="AC88" s="224">
        <v>0</v>
      </c>
      <c r="AD88" s="221">
        <v>0</v>
      </c>
      <c r="AE88" s="230">
        <v>0</v>
      </c>
      <c r="AF88" s="128">
        <v>4095146.0000000005</v>
      </c>
      <c r="AG88" s="233">
        <v>2945870.6</v>
      </c>
      <c r="AH88" s="240">
        <v>0</v>
      </c>
      <c r="AI88" s="237">
        <v>107845.07999999967</v>
      </c>
      <c r="AJ88" s="243">
        <v>0</v>
      </c>
      <c r="AK88" s="251">
        <v>297124.1999999999</v>
      </c>
      <c r="AL88" s="259">
        <v>0</v>
      </c>
      <c r="AM88" s="256">
        <v>0</v>
      </c>
      <c r="AN88" s="243">
        <v>0</v>
      </c>
      <c r="AO88" s="129">
        <v>0</v>
      </c>
      <c r="AP88" s="129">
        <v>0</v>
      </c>
      <c r="AQ88" s="129">
        <v>0</v>
      </c>
      <c r="AR88" s="129">
        <v>105512.10480000022</v>
      </c>
      <c r="AS88" s="129">
        <v>154009.37700000024</v>
      </c>
      <c r="AT88" s="129">
        <v>28424.881799999981</v>
      </c>
      <c r="AU88" s="129">
        <v>26576.109000000011</v>
      </c>
      <c r="AV88" s="129">
        <v>4886.0424000000057</v>
      </c>
      <c r="AW88" s="129">
        <v>0</v>
      </c>
      <c r="AX88" s="129">
        <v>0</v>
      </c>
      <c r="AY88" s="129">
        <v>43923.24493325247</v>
      </c>
      <c r="AZ88" s="129">
        <v>0</v>
      </c>
      <c r="BA88" s="129">
        <v>433844.82645976753</v>
      </c>
      <c r="BB88" s="129">
        <v>0</v>
      </c>
      <c r="BC88" s="129">
        <v>0</v>
      </c>
      <c r="BD88" s="129"/>
      <c r="BE88" s="129"/>
      <c r="BF88" s="251">
        <v>144204.28</v>
      </c>
      <c r="BG88" s="259">
        <v>33310</v>
      </c>
      <c r="BH88" s="256">
        <v>0</v>
      </c>
      <c r="BI88" s="243">
        <v>85070.785185000001</v>
      </c>
      <c r="BJ88" s="129"/>
      <c r="BK88" s="129"/>
      <c r="BL88" s="251">
        <v>7041016.6000000006</v>
      </c>
      <c r="BM88" s="259">
        <v>1202145.8663930199</v>
      </c>
      <c r="BN88" s="259">
        <v>262585.06518500001</v>
      </c>
      <c r="BO88" s="259">
        <v>725286.08281241183</v>
      </c>
      <c r="BP88" s="136">
        <v>8505747.5315780193</v>
      </c>
      <c r="BQ88" s="136">
        <v>0</v>
      </c>
      <c r="BR88" s="267">
        <v>8509373.8223930206</v>
      </c>
      <c r="BS88" s="136">
        <v>8331859.5423930204</v>
      </c>
      <c r="BT88" s="271">
        <v>6692.2566605566426</v>
      </c>
      <c r="BU88" s="271">
        <v>6613.5561247068026</v>
      </c>
      <c r="BV88" s="275">
        <v>1.1899881752848812E-2</v>
      </c>
      <c r="BW88" s="275">
        <v>0</v>
      </c>
      <c r="BX88" s="278">
        <v>0</v>
      </c>
      <c r="BY88" s="288">
        <v>8505747.5315780193</v>
      </c>
      <c r="BZ88" s="256">
        <v>0</v>
      </c>
      <c r="CA88" s="263">
        <v>0</v>
      </c>
      <c r="CB88" s="296">
        <v>8505747.5315780193</v>
      </c>
      <c r="CC88" s="2"/>
      <c r="CD88" s="521"/>
      <c r="CE88" s="523"/>
      <c r="CF88" s="514"/>
      <c r="CG88" s="100"/>
      <c r="CH88" s="565">
        <v>0</v>
      </c>
      <c r="CI88" s="114">
        <v>89082</v>
      </c>
      <c r="CK88" s="111"/>
      <c r="CL88" s="111"/>
      <c r="CM88" s="556"/>
      <c r="CN88" s="560"/>
      <c r="CO88" s="2">
        <v>0</v>
      </c>
      <c r="CP88" s="571"/>
      <c r="CQ88" s="547"/>
      <c r="CR88" s="544"/>
      <c r="CS88" s="114"/>
      <c r="CT88" s="2"/>
    </row>
    <row r="89" spans="1:98" ht="14" x14ac:dyDescent="0.25">
      <c r="A89" s="60">
        <v>3125409</v>
      </c>
      <c r="B89" s="145">
        <v>5409</v>
      </c>
      <c r="C89" s="211" t="s">
        <v>136</v>
      </c>
      <c r="D89" s="217">
        <v>1068</v>
      </c>
      <c r="E89" s="224">
        <v>0</v>
      </c>
      <c r="F89" s="224">
        <v>1068</v>
      </c>
      <c r="G89" s="224">
        <v>621</v>
      </c>
      <c r="H89" s="224">
        <v>447</v>
      </c>
      <c r="I89" s="224">
        <v>0</v>
      </c>
      <c r="J89" s="221">
        <v>355.9999999999996</v>
      </c>
      <c r="K89" s="214">
        <v>0</v>
      </c>
      <c r="L89" s="224">
        <v>415.99999999999977</v>
      </c>
      <c r="M89" s="224">
        <v>0</v>
      </c>
      <c r="N89" s="224">
        <v>0</v>
      </c>
      <c r="O89" s="224">
        <v>0</v>
      </c>
      <c r="P89" s="224">
        <v>0</v>
      </c>
      <c r="Q89" s="224">
        <v>0</v>
      </c>
      <c r="R89" s="224">
        <v>0</v>
      </c>
      <c r="S89" s="224">
        <v>261.48968105065643</v>
      </c>
      <c r="T89" s="224">
        <v>316.59287054408992</v>
      </c>
      <c r="U89" s="224">
        <v>26.048780487804851</v>
      </c>
      <c r="V89" s="224">
        <v>21.039399624765466</v>
      </c>
      <c r="W89" s="224">
        <v>13.024390243902426</v>
      </c>
      <c r="X89" s="224">
        <v>0</v>
      </c>
      <c r="Y89" s="224">
        <v>0</v>
      </c>
      <c r="Z89" s="224">
        <v>110.10309278350553</v>
      </c>
      <c r="AA89" s="224">
        <v>0</v>
      </c>
      <c r="AB89" s="224">
        <v>284.64895912501527</v>
      </c>
      <c r="AC89" s="224">
        <v>0</v>
      </c>
      <c r="AD89" s="221">
        <v>17.059601139601096</v>
      </c>
      <c r="AE89" s="230">
        <v>0</v>
      </c>
      <c r="AF89" s="128">
        <v>3346165.35</v>
      </c>
      <c r="AG89" s="233">
        <v>2715060.12</v>
      </c>
      <c r="AH89" s="240">
        <v>0</v>
      </c>
      <c r="AI89" s="237">
        <v>191964.24239999978</v>
      </c>
      <c r="AJ89" s="243">
        <v>0</v>
      </c>
      <c r="AK89" s="251">
        <v>549349.63199999963</v>
      </c>
      <c r="AL89" s="259">
        <v>0</v>
      </c>
      <c r="AM89" s="256">
        <v>0</v>
      </c>
      <c r="AN89" s="243">
        <v>0</v>
      </c>
      <c r="AO89" s="129">
        <v>0</v>
      </c>
      <c r="AP89" s="129">
        <v>0</v>
      </c>
      <c r="AQ89" s="129">
        <v>0</v>
      </c>
      <c r="AR89" s="129">
        <v>97838.037699061839</v>
      </c>
      <c r="AS89" s="129">
        <v>156779.00564352714</v>
      </c>
      <c r="AT89" s="129">
        <v>18059.353814634127</v>
      </c>
      <c r="AU89" s="129">
        <v>15975.582220637889</v>
      </c>
      <c r="AV89" s="129">
        <v>10606.2871609756</v>
      </c>
      <c r="AW89" s="129">
        <v>0</v>
      </c>
      <c r="AX89" s="129">
        <v>0</v>
      </c>
      <c r="AY89" s="129">
        <v>192045.01843299036</v>
      </c>
      <c r="AZ89" s="129">
        <v>0</v>
      </c>
      <c r="BA89" s="129">
        <v>556009.50856671785</v>
      </c>
      <c r="BB89" s="129">
        <v>0</v>
      </c>
      <c r="BC89" s="129">
        <v>25907.303964717881</v>
      </c>
      <c r="BD89" s="129"/>
      <c r="BE89" s="129"/>
      <c r="BF89" s="251">
        <v>144204.28</v>
      </c>
      <c r="BG89" s="259">
        <v>70224</v>
      </c>
      <c r="BH89" s="256">
        <v>0</v>
      </c>
      <c r="BI89" s="243"/>
      <c r="BJ89" s="129"/>
      <c r="BK89" s="129"/>
      <c r="BL89" s="251">
        <v>6061225.4700000007</v>
      </c>
      <c r="BM89" s="259">
        <v>1814533.971903262</v>
      </c>
      <c r="BN89" s="259">
        <v>214428.28</v>
      </c>
      <c r="BO89" s="259">
        <v>884495.9373269534</v>
      </c>
      <c r="BP89" s="136">
        <v>8090187.7219032627</v>
      </c>
      <c r="BQ89" s="136">
        <v>0</v>
      </c>
      <c r="BR89" s="267">
        <v>8090187.7219032636</v>
      </c>
      <c r="BS89" s="136">
        <v>7875759.4419032624</v>
      </c>
      <c r="BT89" s="271">
        <v>7374.3065935423801</v>
      </c>
      <c r="BU89" s="271">
        <v>7305.3637999999992</v>
      </c>
      <c r="BV89" s="275">
        <v>9.4372840873963009E-3</v>
      </c>
      <c r="BW89" s="275">
        <v>0</v>
      </c>
      <c r="BX89" s="278">
        <v>0</v>
      </c>
      <c r="BY89" s="288">
        <v>8090187.7219032627</v>
      </c>
      <c r="BZ89" s="256">
        <v>-1367.04</v>
      </c>
      <c r="CA89" s="263">
        <v>-11673.24</v>
      </c>
      <c r="CB89" s="296">
        <v>8077147.4419032624</v>
      </c>
      <c r="CC89" s="2"/>
      <c r="CD89" s="521"/>
      <c r="CE89" s="523"/>
      <c r="CF89" s="514"/>
      <c r="CG89" s="100"/>
      <c r="CH89" s="565">
        <v>72000</v>
      </c>
      <c r="CI89" s="114">
        <v>354577.33333333337</v>
      </c>
      <c r="CK89" s="111">
        <v>447120</v>
      </c>
      <c r="CL89" s="111">
        <v>0</v>
      </c>
      <c r="CM89" s="556">
        <v>0</v>
      </c>
      <c r="CN89" s="560"/>
      <c r="CO89" s="2">
        <v>147961.71428571429</v>
      </c>
      <c r="CP89" s="571"/>
      <c r="CQ89" s="547">
        <v>22815.63</v>
      </c>
      <c r="CR89" s="544">
        <v>280772.5</v>
      </c>
      <c r="CS89" s="114">
        <v>561545</v>
      </c>
      <c r="CT89" s="2"/>
    </row>
    <row r="90" spans="1:98" ht="14" x14ac:dyDescent="0.25">
      <c r="A90" s="60">
        <v>3125410</v>
      </c>
      <c r="B90" s="145">
        <v>5410</v>
      </c>
      <c r="C90" s="211" t="s">
        <v>169</v>
      </c>
      <c r="D90" s="217">
        <v>1160</v>
      </c>
      <c r="E90" s="224">
        <v>0</v>
      </c>
      <c r="F90" s="224">
        <v>1160</v>
      </c>
      <c r="G90" s="224">
        <v>708</v>
      </c>
      <c r="H90" s="224">
        <v>452</v>
      </c>
      <c r="I90" s="224">
        <v>0</v>
      </c>
      <c r="J90" s="221">
        <v>280.00000000000051</v>
      </c>
      <c r="K90" s="214">
        <v>0</v>
      </c>
      <c r="L90" s="224">
        <v>302.99999999999989</v>
      </c>
      <c r="M90" s="224">
        <v>0</v>
      </c>
      <c r="N90" s="224">
        <v>0</v>
      </c>
      <c r="O90" s="224">
        <v>0</v>
      </c>
      <c r="P90" s="224">
        <v>0</v>
      </c>
      <c r="Q90" s="224">
        <v>0</v>
      </c>
      <c r="R90" s="224">
        <v>0</v>
      </c>
      <c r="S90" s="224">
        <v>249.21484037963805</v>
      </c>
      <c r="T90" s="224">
        <v>267.2303710094904</v>
      </c>
      <c r="U90" s="224">
        <v>45.038826574633333</v>
      </c>
      <c r="V90" s="224">
        <v>14.012079378774844</v>
      </c>
      <c r="W90" s="224">
        <v>6.0051768766177709</v>
      </c>
      <c r="X90" s="224">
        <v>0</v>
      </c>
      <c r="Y90" s="224">
        <v>0</v>
      </c>
      <c r="Z90" s="224">
        <v>26.000000000000028</v>
      </c>
      <c r="AA90" s="224">
        <v>0</v>
      </c>
      <c r="AB90" s="224">
        <v>161.68163741938173</v>
      </c>
      <c r="AC90" s="224">
        <v>0</v>
      </c>
      <c r="AD90" s="221">
        <v>0</v>
      </c>
      <c r="AE90" s="230">
        <v>0</v>
      </c>
      <c r="AF90" s="128">
        <v>3814951.8000000003</v>
      </c>
      <c r="AG90" s="233">
        <v>2745429.92</v>
      </c>
      <c r="AH90" s="240">
        <v>0</v>
      </c>
      <c r="AI90" s="237">
        <v>150983.11200000028</v>
      </c>
      <c r="AJ90" s="243">
        <v>0</v>
      </c>
      <c r="AK90" s="251">
        <v>400127.25599999982</v>
      </c>
      <c r="AL90" s="259">
        <v>0</v>
      </c>
      <c r="AM90" s="256">
        <v>0</v>
      </c>
      <c r="AN90" s="243">
        <v>0</v>
      </c>
      <c r="AO90" s="129">
        <v>0</v>
      </c>
      <c r="AP90" s="129">
        <v>0</v>
      </c>
      <c r="AQ90" s="129">
        <v>0</v>
      </c>
      <c r="AR90" s="129">
        <v>93245.327503020017</v>
      </c>
      <c r="AS90" s="129">
        <v>132334.35033649672</v>
      </c>
      <c r="AT90" s="129">
        <v>31224.959068162229</v>
      </c>
      <c r="AU90" s="129">
        <v>10639.615682484929</v>
      </c>
      <c r="AV90" s="129">
        <v>4890.2581397756667</v>
      </c>
      <c r="AW90" s="129">
        <v>0</v>
      </c>
      <c r="AX90" s="129">
        <v>0</v>
      </c>
      <c r="AY90" s="129">
        <v>45349.956600000049</v>
      </c>
      <c r="AZ90" s="129">
        <v>0</v>
      </c>
      <c r="BA90" s="129">
        <v>315815.41011829575</v>
      </c>
      <c r="BB90" s="129">
        <v>0</v>
      </c>
      <c r="BC90" s="129">
        <v>0</v>
      </c>
      <c r="BD90" s="129"/>
      <c r="BE90" s="129"/>
      <c r="BF90" s="251">
        <v>144204.28</v>
      </c>
      <c r="BG90" s="259">
        <v>53862</v>
      </c>
      <c r="BH90" s="256">
        <v>0</v>
      </c>
      <c r="BI90" s="243"/>
      <c r="BJ90" s="129"/>
      <c r="BK90" s="129"/>
      <c r="BL90" s="251">
        <v>6560381.7200000007</v>
      </c>
      <c r="BM90" s="259">
        <v>1184610.2454482357</v>
      </c>
      <c r="BN90" s="259">
        <v>198066.28</v>
      </c>
      <c r="BO90" s="259">
        <v>637643.53092399903</v>
      </c>
      <c r="BP90" s="136">
        <v>7943058.2454482364</v>
      </c>
      <c r="BQ90" s="136">
        <v>0</v>
      </c>
      <c r="BR90" s="267">
        <v>7943058.2454482373</v>
      </c>
      <c r="BS90" s="136">
        <v>7744991.9654482361</v>
      </c>
      <c r="BT90" s="271">
        <v>6676.7172115933072</v>
      </c>
      <c r="BU90" s="271">
        <v>6605.8430663239078</v>
      </c>
      <c r="BV90" s="275">
        <v>1.0729008327598707E-2</v>
      </c>
      <c r="BW90" s="275">
        <v>0</v>
      </c>
      <c r="BX90" s="278">
        <v>0</v>
      </c>
      <c r="BY90" s="288">
        <v>7943058.2454482364</v>
      </c>
      <c r="BZ90" s="256">
        <v>0</v>
      </c>
      <c r="CA90" s="263">
        <v>0</v>
      </c>
      <c r="CB90" s="296">
        <v>7943058.2454482364</v>
      </c>
      <c r="CC90" s="2"/>
      <c r="CD90" s="521"/>
      <c r="CE90" s="523"/>
      <c r="CF90" s="514"/>
      <c r="CG90" s="100"/>
      <c r="CH90" s="565">
        <v>0</v>
      </c>
      <c r="CI90" s="114">
        <v>143487.33333333334</v>
      </c>
      <c r="CK90" s="111"/>
      <c r="CL90" s="111"/>
      <c r="CM90" s="556"/>
      <c r="CN90" s="560"/>
      <c r="CO90" s="2">
        <v>0</v>
      </c>
      <c r="CP90" s="571"/>
      <c r="CQ90" s="547"/>
      <c r="CR90" s="544"/>
      <c r="CS90" s="114"/>
      <c r="CT90" s="2"/>
    </row>
    <row r="91" spans="1:98" ht="14" x14ac:dyDescent="0.25">
      <c r="A91" s="60">
        <v>3125411</v>
      </c>
      <c r="B91" s="145">
        <v>5411</v>
      </c>
      <c r="C91" s="211" t="s">
        <v>89</v>
      </c>
      <c r="D91" s="217">
        <v>1072</v>
      </c>
      <c r="E91" s="224">
        <v>0</v>
      </c>
      <c r="F91" s="224">
        <v>1072</v>
      </c>
      <c r="G91" s="224">
        <v>639</v>
      </c>
      <c r="H91" s="224">
        <v>433</v>
      </c>
      <c r="I91" s="224">
        <v>0</v>
      </c>
      <c r="J91" s="221">
        <v>426.00000000000051</v>
      </c>
      <c r="K91" s="214">
        <v>0</v>
      </c>
      <c r="L91" s="224">
        <v>453.0000000000004</v>
      </c>
      <c r="M91" s="224">
        <v>0</v>
      </c>
      <c r="N91" s="224">
        <v>0</v>
      </c>
      <c r="O91" s="224">
        <v>0</v>
      </c>
      <c r="P91" s="224">
        <v>0</v>
      </c>
      <c r="Q91" s="224">
        <v>0</v>
      </c>
      <c r="R91" s="224">
        <v>0</v>
      </c>
      <c r="S91" s="224">
        <v>329.00000000000011</v>
      </c>
      <c r="T91" s="224">
        <v>333</v>
      </c>
      <c r="U91" s="224">
        <v>13.999999999999986</v>
      </c>
      <c r="V91" s="224">
        <v>9.9999999999999947</v>
      </c>
      <c r="W91" s="224">
        <v>1.9999999999999949</v>
      </c>
      <c r="X91" s="224">
        <v>0</v>
      </c>
      <c r="Y91" s="224">
        <v>0</v>
      </c>
      <c r="Z91" s="224">
        <v>107.09990662931837</v>
      </c>
      <c r="AA91" s="224">
        <v>0</v>
      </c>
      <c r="AB91" s="224">
        <v>316.63124972029681</v>
      </c>
      <c r="AC91" s="224">
        <v>0</v>
      </c>
      <c r="AD91" s="221">
        <v>0</v>
      </c>
      <c r="AE91" s="230">
        <v>0</v>
      </c>
      <c r="AF91" s="128">
        <v>3443155.6500000004</v>
      </c>
      <c r="AG91" s="233">
        <v>2630024.6800000002</v>
      </c>
      <c r="AH91" s="240">
        <v>0</v>
      </c>
      <c r="AI91" s="237">
        <v>229710.0204000003</v>
      </c>
      <c r="AJ91" s="243">
        <v>0</v>
      </c>
      <c r="AK91" s="251">
        <v>598210.05600000045</v>
      </c>
      <c r="AL91" s="259">
        <v>0</v>
      </c>
      <c r="AM91" s="256">
        <v>0</v>
      </c>
      <c r="AN91" s="243">
        <v>0</v>
      </c>
      <c r="AO91" s="129">
        <v>0</v>
      </c>
      <c r="AP91" s="129">
        <v>0</v>
      </c>
      <c r="AQ91" s="129">
        <v>0</v>
      </c>
      <c r="AR91" s="129">
        <v>123097.45560000004</v>
      </c>
      <c r="AS91" s="129">
        <v>164903.93100000001</v>
      </c>
      <c r="AT91" s="129">
        <v>9706.0571999999902</v>
      </c>
      <c r="AU91" s="129">
        <v>7593.1739999999963</v>
      </c>
      <c r="AV91" s="129">
        <v>1628.680799999996</v>
      </c>
      <c r="AW91" s="129">
        <v>0</v>
      </c>
      <c r="AX91" s="129">
        <v>0</v>
      </c>
      <c r="AY91" s="129">
        <v>186806.77375014001</v>
      </c>
      <c r="AZ91" s="129">
        <v>0</v>
      </c>
      <c r="BA91" s="129">
        <v>618481.04449427605</v>
      </c>
      <c r="BB91" s="129">
        <v>0</v>
      </c>
      <c r="BC91" s="129">
        <v>0</v>
      </c>
      <c r="BD91" s="129"/>
      <c r="BE91" s="129"/>
      <c r="BF91" s="251">
        <v>144204.28</v>
      </c>
      <c r="BG91" s="259">
        <v>40112.800000000003</v>
      </c>
      <c r="BH91" s="256">
        <v>7342.4499999999971</v>
      </c>
      <c r="BI91" s="243"/>
      <c r="BJ91" s="129"/>
      <c r="BK91" s="129"/>
      <c r="BL91" s="251">
        <v>6073180.3300000001</v>
      </c>
      <c r="BM91" s="259">
        <v>1940137.1932444167</v>
      </c>
      <c r="BN91" s="259">
        <v>191659.53000000003</v>
      </c>
      <c r="BO91" s="259">
        <v>950707.44267436373</v>
      </c>
      <c r="BP91" s="136">
        <v>8204977.0532444166</v>
      </c>
      <c r="BQ91" s="136">
        <v>0</v>
      </c>
      <c r="BR91" s="267">
        <v>8204977.0532444175</v>
      </c>
      <c r="BS91" s="136">
        <v>8013317.5232444163</v>
      </c>
      <c r="BT91" s="271">
        <v>7475.1096298921793</v>
      </c>
      <c r="BU91" s="271">
        <v>7355.0040834151132</v>
      </c>
      <c r="BV91" s="275">
        <v>1.6329772915815718E-2</v>
      </c>
      <c r="BW91" s="275">
        <v>0</v>
      </c>
      <c r="BX91" s="278">
        <v>0</v>
      </c>
      <c r="BY91" s="288">
        <v>8204977.0532444166</v>
      </c>
      <c r="BZ91" s="256">
        <v>-1372.16</v>
      </c>
      <c r="CA91" s="263">
        <v>-11716.96</v>
      </c>
      <c r="CB91" s="296">
        <v>8191887.9332444165</v>
      </c>
      <c r="CC91" s="2"/>
      <c r="CD91" s="521"/>
      <c r="CE91" s="523"/>
      <c r="CF91" s="514">
        <v>121785.31216474777</v>
      </c>
      <c r="CG91" s="100">
        <v>101287.5</v>
      </c>
      <c r="CH91" s="565">
        <v>98000</v>
      </c>
      <c r="CI91" s="114">
        <v>370939.33333333331</v>
      </c>
      <c r="CK91" s="111">
        <v>447120</v>
      </c>
      <c r="CL91" s="111">
        <v>1340</v>
      </c>
      <c r="CM91" s="556">
        <v>0</v>
      </c>
      <c r="CN91" s="560"/>
      <c r="CO91" s="2">
        <v>139765.71428571429</v>
      </c>
      <c r="CP91" s="571"/>
      <c r="CQ91" s="547">
        <v>26275</v>
      </c>
      <c r="CR91" s="544">
        <v>533481.98</v>
      </c>
      <c r="CS91" s="114">
        <v>1066963.96</v>
      </c>
      <c r="CT91" s="2"/>
    </row>
    <row r="92" spans="1:98" ht="14" x14ac:dyDescent="0.25">
      <c r="A92" s="60">
        <v>3125412</v>
      </c>
      <c r="B92" s="145">
        <v>5412</v>
      </c>
      <c r="C92" s="211" t="s">
        <v>33</v>
      </c>
      <c r="D92" s="217">
        <v>1255</v>
      </c>
      <c r="E92" s="224">
        <v>0</v>
      </c>
      <c r="F92" s="224">
        <v>1255</v>
      </c>
      <c r="G92" s="224">
        <v>752</v>
      </c>
      <c r="H92" s="224">
        <v>503</v>
      </c>
      <c r="I92" s="224">
        <v>0</v>
      </c>
      <c r="J92" s="221">
        <v>416.99999999999955</v>
      </c>
      <c r="K92" s="214">
        <v>0</v>
      </c>
      <c r="L92" s="224">
        <v>475.99999999999949</v>
      </c>
      <c r="M92" s="224">
        <v>0</v>
      </c>
      <c r="N92" s="224">
        <v>0</v>
      </c>
      <c r="O92" s="224">
        <v>0</v>
      </c>
      <c r="P92" s="224">
        <v>0</v>
      </c>
      <c r="Q92" s="224">
        <v>0</v>
      </c>
      <c r="R92" s="224">
        <v>0</v>
      </c>
      <c r="S92" s="224">
        <v>378</v>
      </c>
      <c r="T92" s="224">
        <v>379.00000000000006</v>
      </c>
      <c r="U92" s="224">
        <v>69</v>
      </c>
      <c r="V92" s="224">
        <v>7.0000000000000018</v>
      </c>
      <c r="W92" s="224">
        <v>45.000000000000021</v>
      </c>
      <c r="X92" s="224">
        <v>0</v>
      </c>
      <c r="Y92" s="224">
        <v>0</v>
      </c>
      <c r="Z92" s="224">
        <v>97.388000000000005</v>
      </c>
      <c r="AA92" s="224">
        <v>0</v>
      </c>
      <c r="AB92" s="224">
        <v>275.02801173238157</v>
      </c>
      <c r="AC92" s="224">
        <v>0</v>
      </c>
      <c r="AD92" s="221">
        <v>10.974980015987263</v>
      </c>
      <c r="AE92" s="230">
        <v>0</v>
      </c>
      <c r="AF92" s="128">
        <v>4052039.2</v>
      </c>
      <c r="AG92" s="233">
        <v>3055201.88</v>
      </c>
      <c r="AH92" s="240">
        <v>0</v>
      </c>
      <c r="AI92" s="237">
        <v>224856.99179999976</v>
      </c>
      <c r="AJ92" s="243">
        <v>0</v>
      </c>
      <c r="AK92" s="251">
        <v>628582.75199999928</v>
      </c>
      <c r="AL92" s="259">
        <v>0</v>
      </c>
      <c r="AM92" s="256">
        <v>0</v>
      </c>
      <c r="AN92" s="243">
        <v>0</v>
      </c>
      <c r="AO92" s="129">
        <v>0</v>
      </c>
      <c r="AP92" s="129">
        <v>0</v>
      </c>
      <c r="AQ92" s="129">
        <v>0</v>
      </c>
      <c r="AR92" s="129">
        <v>141431.11920000002</v>
      </c>
      <c r="AS92" s="129">
        <v>187683.45300000004</v>
      </c>
      <c r="AT92" s="129">
        <v>47836.996200000001</v>
      </c>
      <c r="AU92" s="129">
        <v>5315.2218000000012</v>
      </c>
      <c r="AV92" s="129">
        <v>36645.318000000021</v>
      </c>
      <c r="AW92" s="129">
        <v>0</v>
      </c>
      <c r="AX92" s="129">
        <v>0</v>
      </c>
      <c r="AY92" s="129">
        <v>169866.98359080002</v>
      </c>
      <c r="AZ92" s="129">
        <v>0</v>
      </c>
      <c r="BA92" s="129">
        <v>537216.75327905454</v>
      </c>
      <c r="BB92" s="129">
        <v>0</v>
      </c>
      <c r="BC92" s="129">
        <v>16666.986581582816</v>
      </c>
      <c r="BD92" s="129"/>
      <c r="BE92" s="129"/>
      <c r="BF92" s="251">
        <v>144204.28</v>
      </c>
      <c r="BG92" s="259">
        <v>63546</v>
      </c>
      <c r="BH92" s="256">
        <v>0</v>
      </c>
      <c r="BI92" s="243"/>
      <c r="BJ92" s="129">
        <v>480499.5</v>
      </c>
      <c r="BK92" s="129"/>
      <c r="BL92" s="251">
        <v>7107241.0800000001</v>
      </c>
      <c r="BM92" s="259">
        <v>1996102.5754514362</v>
      </c>
      <c r="BN92" s="259">
        <v>688249.78</v>
      </c>
      <c r="BO92" s="259">
        <v>959567.68393127143</v>
      </c>
      <c r="BP92" s="136">
        <v>9791593.4354514349</v>
      </c>
      <c r="BQ92" s="136">
        <v>0</v>
      </c>
      <c r="BR92" s="267">
        <v>9791593.4354514349</v>
      </c>
      <c r="BS92" s="136">
        <v>10064342.655451436</v>
      </c>
      <c r="BT92" s="271">
        <v>8019.3965382083152</v>
      </c>
      <c r="BU92" s="271">
        <v>7807.6206993506494</v>
      </c>
      <c r="BV92" s="275">
        <v>2.71242478358713E-2</v>
      </c>
      <c r="BW92" s="275">
        <v>0</v>
      </c>
      <c r="BX92" s="278">
        <v>0</v>
      </c>
      <c r="BY92" s="288">
        <v>9791593.4354514349</v>
      </c>
      <c r="BZ92" s="256">
        <v>0</v>
      </c>
      <c r="CA92" s="263">
        <v>0</v>
      </c>
      <c r="CB92" s="296">
        <v>9791593.4354514349</v>
      </c>
      <c r="CC92" s="2"/>
      <c r="CD92" s="521"/>
      <c r="CE92" s="523"/>
      <c r="CF92" s="514"/>
      <c r="CG92" s="100">
        <v>67525</v>
      </c>
      <c r="CH92" s="565">
        <v>0</v>
      </c>
      <c r="CI92" s="114">
        <v>97532.333333333328</v>
      </c>
      <c r="CK92" s="111"/>
      <c r="CL92" s="111"/>
      <c r="CM92" s="556"/>
      <c r="CN92" s="560"/>
      <c r="CO92" s="2"/>
      <c r="CP92" s="571"/>
      <c r="CQ92" s="547"/>
      <c r="CR92" s="544"/>
      <c r="CS92" s="114"/>
      <c r="CT92" s="2"/>
    </row>
    <row r="93" spans="1:98" ht="14.5" thickBot="1" x14ac:dyDescent="0.3">
      <c r="A93" s="60">
        <v>3126906</v>
      </c>
      <c r="B93" s="147">
        <v>6906</v>
      </c>
      <c r="C93" s="213" t="s">
        <v>176</v>
      </c>
      <c r="D93" s="218">
        <v>245</v>
      </c>
      <c r="E93" s="225">
        <v>0</v>
      </c>
      <c r="F93" s="225">
        <v>245</v>
      </c>
      <c r="G93" s="225">
        <v>145</v>
      </c>
      <c r="H93" s="225">
        <v>100</v>
      </c>
      <c r="I93" s="225">
        <v>0</v>
      </c>
      <c r="J93" s="222">
        <v>98</v>
      </c>
      <c r="K93" s="227">
        <v>0</v>
      </c>
      <c r="L93" s="225">
        <v>106.99999999999999</v>
      </c>
      <c r="M93" s="225">
        <v>0</v>
      </c>
      <c r="N93" s="225">
        <v>0</v>
      </c>
      <c r="O93" s="225">
        <v>0</v>
      </c>
      <c r="P93" s="225">
        <v>0</v>
      </c>
      <c r="Q93" s="225">
        <v>0</v>
      </c>
      <c r="R93" s="225">
        <v>0</v>
      </c>
      <c r="S93" s="225">
        <v>75.999999999999986</v>
      </c>
      <c r="T93" s="225">
        <v>31.999999999999954</v>
      </c>
      <c r="U93" s="225">
        <v>8.9999999999999964</v>
      </c>
      <c r="V93" s="225">
        <v>0.99999999999999878</v>
      </c>
      <c r="W93" s="225">
        <v>0</v>
      </c>
      <c r="X93" s="225">
        <v>0</v>
      </c>
      <c r="Y93" s="225">
        <v>0</v>
      </c>
      <c r="Z93" s="225">
        <v>13.999999999999989</v>
      </c>
      <c r="AA93" s="225">
        <v>0</v>
      </c>
      <c r="AB93" s="225">
        <v>75.287693022773809</v>
      </c>
      <c r="AC93" s="225">
        <v>0</v>
      </c>
      <c r="AD93" s="222">
        <v>10.50576131687243</v>
      </c>
      <c r="AE93" s="231">
        <v>0</v>
      </c>
      <c r="AF93" s="130">
        <v>781310.75</v>
      </c>
      <c r="AG93" s="234">
        <v>607396</v>
      </c>
      <c r="AH93" s="241">
        <v>0</v>
      </c>
      <c r="AI93" s="238">
        <v>52844.089200000002</v>
      </c>
      <c r="AJ93" s="244">
        <v>0</v>
      </c>
      <c r="AK93" s="261">
        <v>141299.06399999998</v>
      </c>
      <c r="AL93" s="260">
        <v>0</v>
      </c>
      <c r="AM93" s="257">
        <v>0</v>
      </c>
      <c r="AN93" s="244">
        <v>0</v>
      </c>
      <c r="AO93" s="131">
        <v>0</v>
      </c>
      <c r="AP93" s="131">
        <v>0</v>
      </c>
      <c r="AQ93" s="131">
        <v>0</v>
      </c>
      <c r="AR93" s="131">
        <v>28435.886399999996</v>
      </c>
      <c r="AS93" s="131">
        <v>15846.623999999976</v>
      </c>
      <c r="AT93" s="131">
        <v>6239.6081999999979</v>
      </c>
      <c r="AU93" s="131">
        <v>759.31739999999911</v>
      </c>
      <c r="AV93" s="131">
        <v>0</v>
      </c>
      <c r="AW93" s="131">
        <v>0</v>
      </c>
      <c r="AX93" s="131">
        <v>0</v>
      </c>
      <c r="AY93" s="131">
        <v>24419.207399999981</v>
      </c>
      <c r="AZ93" s="131">
        <v>0</v>
      </c>
      <c r="BA93" s="131">
        <v>147060.69302831896</v>
      </c>
      <c r="BB93" s="131">
        <v>0</v>
      </c>
      <c r="BC93" s="131">
        <v>15954.414736296299</v>
      </c>
      <c r="BD93" s="131">
        <v>74897.307599999971</v>
      </c>
      <c r="BE93" s="131"/>
      <c r="BF93" s="251">
        <v>144204.28</v>
      </c>
      <c r="BG93" s="260">
        <v>79484</v>
      </c>
      <c r="BH93" s="257">
        <v>0</v>
      </c>
      <c r="BI93" s="244"/>
      <c r="BJ93" s="131"/>
      <c r="BK93" s="131"/>
      <c r="BL93" s="261">
        <v>1388706.75</v>
      </c>
      <c r="BM93" s="260">
        <v>432858.90436461521</v>
      </c>
      <c r="BN93" s="260">
        <v>298585.58759999997</v>
      </c>
      <c r="BO93" s="260">
        <v>221237.21729338283</v>
      </c>
      <c r="BP93" s="136">
        <v>2120151.241964615</v>
      </c>
      <c r="BQ93" s="534">
        <v>0</v>
      </c>
      <c r="BR93" s="268">
        <v>2120151.241964615</v>
      </c>
      <c r="BS93" s="534">
        <v>1821565.654364615</v>
      </c>
      <c r="BT93" s="272">
        <v>7434.9618545494486</v>
      </c>
      <c r="BU93" s="272">
        <v>7320.6920399999999</v>
      </c>
      <c r="BV93" s="276">
        <v>1.5609154698091727E-2</v>
      </c>
      <c r="BW93" s="276">
        <v>0</v>
      </c>
      <c r="BX93" s="279">
        <v>0</v>
      </c>
      <c r="BY93" s="289">
        <v>2120151.241964615</v>
      </c>
      <c r="BZ93" s="257">
        <v>0</v>
      </c>
      <c r="CA93" s="264">
        <v>0</v>
      </c>
      <c r="CB93" s="297">
        <v>2120151.241964615</v>
      </c>
      <c r="CC93" s="2"/>
      <c r="CD93" s="522"/>
      <c r="CE93" s="524"/>
      <c r="CF93" s="515"/>
      <c r="CG93" s="115"/>
      <c r="CH93" s="567">
        <v>0</v>
      </c>
      <c r="CI93" s="116">
        <v>54943.999999999993</v>
      </c>
      <c r="CK93" s="111"/>
      <c r="CL93" s="111"/>
      <c r="CM93" s="556"/>
      <c r="CN93" s="560"/>
      <c r="CO93" s="559"/>
      <c r="CP93" s="572"/>
      <c r="CQ93" s="548"/>
      <c r="CR93" s="545"/>
      <c r="CS93" s="116"/>
      <c r="CT93" s="2"/>
    </row>
    <row r="94" spans="1:98" ht="13.5" thickBot="1" x14ac:dyDescent="0.3">
      <c r="K94" s="148"/>
      <c r="BQ94" s="133"/>
      <c r="BR94" s="133"/>
      <c r="BS94" s="133"/>
      <c r="BT94" s="133"/>
      <c r="BU94" s="133"/>
      <c r="BW94" s="133"/>
      <c r="BX94" s="133"/>
      <c r="BZ94" s="133"/>
      <c r="CA94" s="133"/>
      <c r="CK94" s="2"/>
      <c r="CL94" s="2"/>
      <c r="CM94" s="2"/>
      <c r="CN94" s="2"/>
      <c r="CO94" s="2"/>
      <c r="CP94" s="2"/>
      <c r="CQ94" s="2"/>
      <c r="CR94" s="2"/>
      <c r="CS94" s="2"/>
    </row>
    <row r="95" spans="1:98" s="197" customFormat="1" ht="13.5" thickBot="1" x14ac:dyDescent="0.35">
      <c r="D95" s="198">
        <f>SUM(D5:D93)</f>
        <v>45078</v>
      </c>
      <c r="E95" s="199">
        <f>SUM(E5:E93)</f>
        <v>26775</v>
      </c>
      <c r="F95" s="199">
        <f>SUM(F5:F93)</f>
        <v>18303</v>
      </c>
      <c r="G95" s="199">
        <f>SUM(G5:G93)</f>
        <v>10867</v>
      </c>
      <c r="H95" s="199">
        <f>SUM(H5:H93)</f>
        <v>7436</v>
      </c>
      <c r="I95" s="199"/>
      <c r="J95" s="199"/>
      <c r="K95" s="199">
        <f>SUM(K5:K93)</f>
        <v>5935.9999999999991</v>
      </c>
      <c r="L95" s="199">
        <f>SUM(L5:L93)</f>
        <v>5020.9999999999991</v>
      </c>
      <c r="M95" s="199">
        <f>SUM(M5:M93)</f>
        <v>6209.4446619650107</v>
      </c>
      <c r="N95" s="199"/>
      <c r="O95" s="199">
        <f t="shared" ref="O95:AG95" si="0">SUM(O5:O93)</f>
        <v>698.44576120908141</v>
      </c>
      <c r="P95" s="199">
        <f t="shared" si="0"/>
        <v>393.58241730423129</v>
      </c>
      <c r="Q95" s="199">
        <f t="shared" si="0"/>
        <v>129.05808831505595</v>
      </c>
      <c r="R95" s="199">
        <f t="shared" si="0"/>
        <v>1.0000000000000011</v>
      </c>
      <c r="S95" s="199">
        <f t="shared" si="0"/>
        <v>4195.5132061635841</v>
      </c>
      <c r="T95" s="199">
        <f t="shared" si="0"/>
        <v>3539.8920175949688</v>
      </c>
      <c r="U95" s="199">
        <f t="shared" si="0"/>
        <v>577.28234246916782</v>
      </c>
      <c r="V95" s="199">
        <f t="shared" si="0"/>
        <v>289.23652909446122</v>
      </c>
      <c r="W95" s="199">
        <f t="shared" si="0"/>
        <v>127.03147369821329</v>
      </c>
      <c r="X95" s="199">
        <f t="shared" si="0"/>
        <v>0</v>
      </c>
      <c r="Y95" s="199">
        <f t="shared" si="0"/>
        <v>7923.4940853387425</v>
      </c>
      <c r="Z95" s="199">
        <f t="shared" si="0"/>
        <v>1141.2490589664578</v>
      </c>
      <c r="AA95" s="199">
        <f t="shared" si="0"/>
        <v>7690.2518754973626</v>
      </c>
      <c r="AB95" s="199">
        <f t="shared" si="0"/>
        <v>3848.6888472073579</v>
      </c>
      <c r="AC95" s="199">
        <f t="shared" si="0"/>
        <v>529.0059365370978</v>
      </c>
      <c r="AD95" s="199">
        <f t="shared" si="0"/>
        <v>133.71895463174411</v>
      </c>
      <c r="AE95" s="199">
        <f t="shared" si="0"/>
        <v>105422813.99999999</v>
      </c>
      <c r="AF95" s="199">
        <f t="shared" si="0"/>
        <v>58555199.450000003</v>
      </c>
      <c r="AG95" s="199">
        <f t="shared" si="0"/>
        <v>45165966.560000002</v>
      </c>
      <c r="AH95" s="199">
        <f t="shared" ref="AH95:AI95" si="1">SUM(AH5:AH93)</f>
        <v>3104320.6278000004</v>
      </c>
      <c r="AI95" s="199">
        <f t="shared" si="1"/>
        <v>2325139.9247999992</v>
      </c>
      <c r="AJ95" s="199">
        <f t="shared" ref="AJ95:BU95" si="2">SUM(AJ5:AJ93)</f>
        <v>5356511.0591999972</v>
      </c>
      <c r="AK95" s="199">
        <f t="shared" si="2"/>
        <v>6630491.5919999992</v>
      </c>
      <c r="AL95" s="199">
        <f t="shared" si="2"/>
        <v>1605812.6860859138</v>
      </c>
      <c r="AM95" s="199">
        <f t="shared" si="2"/>
        <v>1781214.8257217607</v>
      </c>
      <c r="AN95" s="199">
        <f t="shared" si="2"/>
        <v>342032.17195916496</v>
      </c>
      <c r="AO95" s="199">
        <f t="shared" si="2"/>
        <v>210064.02786910816</v>
      </c>
      <c r="AP95" s="199">
        <f t="shared" si="2"/>
        <v>73141.980891601052</v>
      </c>
      <c r="AQ95" s="199">
        <f t="shared" si="2"/>
        <v>748.31280000000083</v>
      </c>
      <c r="AR95" s="199">
        <f t="shared" si="2"/>
        <v>1569778.1173706243</v>
      </c>
      <c r="AS95" s="199">
        <f t="shared" si="2"/>
        <v>1752979.3063571516</v>
      </c>
      <c r="AT95" s="199">
        <f t="shared" si="2"/>
        <v>400223.95975398103</v>
      </c>
      <c r="AU95" s="199">
        <f t="shared" si="2"/>
        <v>219622.32925703062</v>
      </c>
      <c r="AV95" s="199">
        <f t="shared" si="2"/>
        <v>103446.8611039925</v>
      </c>
      <c r="AW95" s="199">
        <f t="shared" si="2"/>
        <v>0</v>
      </c>
      <c r="AX95" s="199">
        <f t="shared" si="2"/>
        <v>5144498.0976796038</v>
      </c>
      <c r="AY95" s="199">
        <f t="shared" si="2"/>
        <v>1990599.8189969121</v>
      </c>
      <c r="AZ95" s="199">
        <f t="shared" si="2"/>
        <v>9901493.0573244989</v>
      </c>
      <c r="BA95" s="199">
        <f t="shared" si="2"/>
        <v>7517707.4286161112</v>
      </c>
      <c r="BB95" s="199">
        <f t="shared" si="2"/>
        <v>558863.87800475012</v>
      </c>
      <c r="BC95" s="199">
        <f t="shared" si="2"/>
        <v>203070.25792338778</v>
      </c>
      <c r="BD95" s="199">
        <f t="shared" si="2"/>
        <v>74897.307599999971</v>
      </c>
      <c r="BE95" s="199">
        <f t="shared" si="2"/>
        <v>10157157.789999995</v>
      </c>
      <c r="BF95" s="199">
        <f t="shared" si="2"/>
        <v>3172494.1599999988</v>
      </c>
      <c r="BG95" s="199">
        <f t="shared" si="2"/>
        <v>2792422.7624999993</v>
      </c>
      <c r="BH95" s="199">
        <f t="shared" si="2"/>
        <v>191127.69</v>
      </c>
      <c r="BI95" s="199">
        <f t="shared" si="2"/>
        <v>85070.785185000001</v>
      </c>
      <c r="BJ95" s="199">
        <f t="shared" si="2"/>
        <v>480499.5</v>
      </c>
      <c r="BK95" s="199">
        <f t="shared" si="2"/>
        <v>0</v>
      </c>
      <c r="BL95" s="199">
        <f t="shared" si="2"/>
        <v>209143980.01000002</v>
      </c>
      <c r="BM95" s="199">
        <f t="shared" si="2"/>
        <v>50791760.321515597</v>
      </c>
      <c r="BN95" s="199">
        <f t="shared" si="2"/>
        <v>16953669.995284989</v>
      </c>
      <c r="BO95" s="199">
        <f t="shared" si="2"/>
        <v>29981496.010237381</v>
      </c>
      <c r="BP95" s="199">
        <f t="shared" si="2"/>
        <v>276889410.32680076</v>
      </c>
      <c r="BQ95" s="199">
        <f t="shared" si="2"/>
        <v>145760813.91625276</v>
      </c>
      <c r="BR95" s="199">
        <f t="shared" si="2"/>
        <v>131146779.77661897</v>
      </c>
      <c r="BS95" s="199">
        <f t="shared" si="2"/>
        <v>260999993.48277175</v>
      </c>
      <c r="BT95" s="199">
        <f t="shared" si="2"/>
        <v>490580.67900296988</v>
      </c>
      <c r="BU95" s="199">
        <f t="shared" si="2"/>
        <v>487290.8162112803</v>
      </c>
      <c r="BV95" s="199"/>
      <c r="BW95" s="199"/>
      <c r="BX95" s="199">
        <f>SUM(BX5:BX93)</f>
        <v>934633.12473472697</v>
      </c>
      <c r="BY95" s="290">
        <f>SUM(BY5:BY93)</f>
        <v>277824043.4515354</v>
      </c>
      <c r="BZ95" s="199">
        <f>SUM(BZ5:BZ93)</f>
        <v>-23441.919999999998</v>
      </c>
      <c r="CA95" s="199">
        <f>SUM(CA5:CA93)</f>
        <v>-200172.01999999993</v>
      </c>
      <c r="CB95" s="299">
        <f>SUM(CB5:CB93)</f>
        <v>277600429.51153535</v>
      </c>
      <c r="CD95" s="200">
        <f>SUM(CD5:CD93)</f>
        <v>9047415.6404944826</v>
      </c>
      <c r="CE95" s="201">
        <f>SUM(CE5:CE93)</f>
        <v>2064498.4890396257</v>
      </c>
      <c r="CF95" s="202">
        <f>SUM(CF5:CF93)</f>
        <v>202975.52027457964</v>
      </c>
      <c r="CG95" s="203">
        <f>SUM(CG5:CG93)</f>
        <v>261096.66</v>
      </c>
      <c r="CH95" s="201">
        <f t="shared" ref="CH95:CI95" si="3">SUM(CH5:CH93)</f>
        <v>1129500</v>
      </c>
      <c r="CI95" s="204">
        <f t="shared" si="3"/>
        <v>11601616.351966668</v>
      </c>
      <c r="CK95" s="205">
        <f>SUM(CK5:CK93)</f>
        <v>5749575</v>
      </c>
      <c r="CL95" s="206">
        <f t="shared" ref="CL95:CS95" si="4">SUM(CL5:CL93)</f>
        <v>72360</v>
      </c>
      <c r="CM95" s="206">
        <f t="shared" si="4"/>
        <v>204930</v>
      </c>
      <c r="CN95" s="206">
        <f t="shared" si="4"/>
        <v>358572</v>
      </c>
      <c r="CO95" s="206">
        <f t="shared" si="4"/>
        <v>1708282.2857142852</v>
      </c>
      <c r="CP95" s="206">
        <f t="shared" si="4"/>
        <v>2475845.35</v>
      </c>
      <c r="CQ95" s="206">
        <f t="shared" si="4"/>
        <v>350728.39</v>
      </c>
      <c r="CR95" s="206">
        <f t="shared" si="4"/>
        <v>814254.48</v>
      </c>
      <c r="CS95" s="207">
        <f t="shared" si="4"/>
        <v>1628508.96</v>
      </c>
    </row>
    <row r="97" spans="64:94" x14ac:dyDescent="0.25">
      <c r="BL97" s="133">
        <v>209136697.20999998</v>
      </c>
      <c r="BM97" s="133">
        <v>50791760.321515605</v>
      </c>
      <c r="BN97" s="133">
        <v>16957296.286099974</v>
      </c>
      <c r="BO97" s="283">
        <v>29981496.010237377</v>
      </c>
      <c r="BP97" s="265">
        <v>276889410.3268007</v>
      </c>
      <c r="BQ97" s="136"/>
      <c r="BY97" s="281" t="e">
        <v>#REF!</v>
      </c>
      <c r="CD97" s="293">
        <f>'EYSFF (Universal)'!AC67-'EYSFF (Universal)'!AC10</f>
        <v>9104435.6404944826</v>
      </c>
      <c r="CE97" s="293"/>
      <c r="CO97" s="550">
        <v>0</v>
      </c>
      <c r="CP97" s="549">
        <v>335288.24999999907</v>
      </c>
    </row>
    <row r="98" spans="64:94" x14ac:dyDescent="0.25">
      <c r="BO98" s="551">
        <f>BO95-BO97</f>
        <v>0</v>
      </c>
      <c r="BP98" s="551">
        <f>BP95-BP97</f>
        <v>0</v>
      </c>
      <c r="BQ98" s="136"/>
      <c r="BW98" s="137"/>
      <c r="BX98" s="132" t="s">
        <v>261</v>
      </c>
      <c r="BY98" s="281" t="e">
        <f>BY95-BY97</f>
        <v>#REF!</v>
      </c>
    </row>
    <row r="99" spans="64:94" x14ac:dyDescent="0.25">
      <c r="BQ99" s="136"/>
      <c r="BW99" s="137"/>
      <c r="CD99" s="516">
        <f>CD95-CD97</f>
        <v>-57020</v>
      </c>
      <c r="CE99" t="s">
        <v>262</v>
      </c>
    </row>
    <row r="100" spans="64:94" x14ac:dyDescent="0.25">
      <c r="BQ100" s="136"/>
      <c r="BW100" s="137"/>
      <c r="CD100" s="293"/>
      <c r="CE100" s="553"/>
    </row>
    <row r="101" spans="64:94" x14ac:dyDescent="0.25">
      <c r="BQ101" s="136"/>
      <c r="BW101" s="137"/>
    </row>
    <row r="102" spans="64:94" x14ac:dyDescent="0.25">
      <c r="BQ102" s="136"/>
      <c r="BW102" s="137"/>
    </row>
    <row r="103" spans="64:94" x14ac:dyDescent="0.25">
      <c r="BQ103" s="136"/>
      <c r="BW103" s="137"/>
    </row>
    <row r="104" spans="64:94" x14ac:dyDescent="0.25">
      <c r="BQ104" s="136"/>
      <c r="BW104" s="137"/>
    </row>
    <row r="105" spans="64:94" x14ac:dyDescent="0.25">
      <c r="BQ105" s="136"/>
      <c r="BW105" s="137"/>
    </row>
    <row r="106" spans="64:94" x14ac:dyDescent="0.25">
      <c r="BQ106" s="136"/>
      <c r="BW106" s="137"/>
    </row>
    <row r="107" spans="64:94" x14ac:dyDescent="0.25">
      <c r="BQ107" s="136"/>
      <c r="BW107" s="137"/>
    </row>
    <row r="108" spans="64:94" x14ac:dyDescent="0.25">
      <c r="BQ108" s="136"/>
      <c r="BW108" s="137"/>
    </row>
    <row r="109" spans="64:94" x14ac:dyDescent="0.25">
      <c r="BQ109" s="136"/>
      <c r="BW109" s="137"/>
    </row>
    <row r="110" spans="64:94" x14ac:dyDescent="0.25">
      <c r="BQ110" s="136"/>
      <c r="BW110" s="137"/>
    </row>
    <row r="111" spans="64:94" x14ac:dyDescent="0.25">
      <c r="BQ111" s="136"/>
      <c r="BW111" s="137"/>
    </row>
    <row r="112" spans="64:94" x14ac:dyDescent="0.25">
      <c r="BQ112" s="136"/>
      <c r="BW112" s="137"/>
    </row>
    <row r="113" spans="75:75" x14ac:dyDescent="0.25">
      <c r="BW113" s="137"/>
    </row>
    <row r="114" spans="75:75" x14ac:dyDescent="0.25">
      <c r="BW114" s="137"/>
    </row>
    <row r="115" spans="75:75" x14ac:dyDescent="0.25">
      <c r="BW115" s="137"/>
    </row>
    <row r="116" spans="75:75" x14ac:dyDescent="0.25">
      <c r="BW116" s="137"/>
    </row>
    <row r="117" spans="75:75" x14ac:dyDescent="0.25">
      <c r="BW117" s="137"/>
    </row>
    <row r="118" spans="75:75" x14ac:dyDescent="0.25">
      <c r="BW118" s="137"/>
    </row>
    <row r="119" spans="75:75" x14ac:dyDescent="0.25">
      <c r="BW119" s="137"/>
    </row>
    <row r="120" spans="75:75" x14ac:dyDescent="0.25">
      <c r="BW120" s="137"/>
    </row>
    <row r="121" spans="75:75" x14ac:dyDescent="0.25">
      <c r="BW121" s="137"/>
    </row>
    <row r="122" spans="75:75" x14ac:dyDescent="0.25">
      <c r="BW122" s="137"/>
    </row>
    <row r="123" spans="75:75" x14ac:dyDescent="0.25">
      <c r="BW123" s="137"/>
    </row>
    <row r="124" spans="75:75" x14ac:dyDescent="0.25">
      <c r="BW124" s="137"/>
    </row>
    <row r="125" spans="75:75" x14ac:dyDescent="0.25">
      <c r="BW125" s="137"/>
    </row>
    <row r="126" spans="75:75" x14ac:dyDescent="0.25">
      <c r="BW126" s="137"/>
    </row>
    <row r="127" spans="75:75" x14ac:dyDescent="0.25">
      <c r="BW127" s="137"/>
    </row>
    <row r="128" spans="75:75" x14ac:dyDescent="0.25">
      <c r="BW128" s="137"/>
    </row>
    <row r="129" spans="75:75" x14ac:dyDescent="0.25">
      <c r="BW129" s="137"/>
    </row>
    <row r="130" spans="75:75" x14ac:dyDescent="0.25">
      <c r="BW130" s="137"/>
    </row>
    <row r="131" spans="75:75" x14ac:dyDescent="0.25">
      <c r="BW131" s="137"/>
    </row>
    <row r="132" spans="75:75" x14ac:dyDescent="0.25">
      <c r="BW132" s="137"/>
    </row>
    <row r="133" spans="75:75" x14ac:dyDescent="0.25">
      <c r="BW133" s="137"/>
    </row>
    <row r="134" spans="75:75" x14ac:dyDescent="0.25">
      <c r="BW134" s="137"/>
    </row>
    <row r="135" spans="75:75" x14ac:dyDescent="0.25">
      <c r="BW135" s="137"/>
    </row>
    <row r="136" spans="75:75" x14ac:dyDescent="0.25">
      <c r="BW136" s="137"/>
    </row>
    <row r="137" spans="75:75" x14ac:dyDescent="0.25">
      <c r="BW137" s="137"/>
    </row>
    <row r="138" spans="75:75" x14ac:dyDescent="0.25">
      <c r="BW138" s="137"/>
    </row>
    <row r="139" spans="75:75" x14ac:dyDescent="0.25">
      <c r="BW139" s="137"/>
    </row>
    <row r="140" spans="75:75" x14ac:dyDescent="0.25">
      <c r="BW140" s="137"/>
    </row>
    <row r="141" spans="75:75" x14ac:dyDescent="0.25">
      <c r="BW141" s="137"/>
    </row>
    <row r="142" spans="75:75" x14ac:dyDescent="0.25">
      <c r="BW142" s="137"/>
    </row>
    <row r="143" spans="75:75" x14ac:dyDescent="0.25">
      <c r="BW143" s="137"/>
    </row>
    <row r="144" spans="75:75" x14ac:dyDescent="0.25">
      <c r="BW144" s="137"/>
    </row>
    <row r="145" spans="75:75" x14ac:dyDescent="0.25">
      <c r="BW145" s="137"/>
    </row>
    <row r="146" spans="75:75" x14ac:dyDescent="0.25">
      <c r="BW146" s="137"/>
    </row>
    <row r="147" spans="75:75" x14ac:dyDescent="0.25">
      <c r="BW147" s="137"/>
    </row>
    <row r="148" spans="75:75" x14ac:dyDescent="0.25">
      <c r="BW148" s="137"/>
    </row>
    <row r="149" spans="75:75" x14ac:dyDescent="0.25">
      <c r="BW149" s="137"/>
    </row>
    <row r="150" spans="75:75" x14ac:dyDescent="0.25">
      <c r="BW150" s="137"/>
    </row>
    <row r="151" spans="75:75" x14ac:dyDescent="0.25">
      <c r="BW151" s="137"/>
    </row>
    <row r="152" spans="75:75" x14ac:dyDescent="0.25">
      <c r="BW152" s="137"/>
    </row>
    <row r="153" spans="75:75" x14ac:dyDescent="0.25">
      <c r="BW153" s="137"/>
    </row>
    <row r="154" spans="75:75" x14ac:dyDescent="0.25">
      <c r="BW154" s="137"/>
    </row>
    <row r="155" spans="75:75" x14ac:dyDescent="0.25">
      <c r="BW155" s="137"/>
    </row>
    <row r="156" spans="75:75" x14ac:dyDescent="0.25">
      <c r="BW156" s="137"/>
    </row>
    <row r="157" spans="75:75" x14ac:dyDescent="0.25">
      <c r="BW157" s="137"/>
    </row>
    <row r="158" spans="75:75" x14ac:dyDescent="0.25">
      <c r="BW158" s="137"/>
    </row>
    <row r="159" spans="75:75" x14ac:dyDescent="0.25">
      <c r="BW159" s="137"/>
    </row>
    <row r="160" spans="75:75" x14ac:dyDescent="0.25">
      <c r="BW160" s="137"/>
    </row>
    <row r="161" spans="75:75" x14ac:dyDescent="0.25">
      <c r="BW161" s="137"/>
    </row>
    <row r="162" spans="75:75" x14ac:dyDescent="0.25">
      <c r="BW162" s="137"/>
    </row>
    <row r="163" spans="75:75" x14ac:dyDescent="0.25">
      <c r="BW163" s="137"/>
    </row>
    <row r="164" spans="75:75" x14ac:dyDescent="0.25">
      <c r="BW164" s="137"/>
    </row>
    <row r="165" spans="75:75" x14ac:dyDescent="0.25">
      <c r="BW165" s="137"/>
    </row>
    <row r="166" spans="75:75" x14ac:dyDescent="0.25">
      <c r="BW166" s="137"/>
    </row>
    <row r="167" spans="75:75" x14ac:dyDescent="0.25">
      <c r="BW167" s="137"/>
    </row>
    <row r="168" spans="75:75" x14ac:dyDescent="0.25">
      <c r="BW168" s="137"/>
    </row>
    <row r="169" spans="75:75" x14ac:dyDescent="0.25">
      <c r="BW169" s="137"/>
    </row>
    <row r="170" spans="75:75" x14ac:dyDescent="0.25">
      <c r="BW170" s="137"/>
    </row>
    <row r="171" spans="75:75" x14ac:dyDescent="0.25">
      <c r="BW171" s="137"/>
    </row>
    <row r="172" spans="75:75" x14ac:dyDescent="0.25">
      <c r="BW172" s="137"/>
    </row>
    <row r="173" spans="75:75" x14ac:dyDescent="0.25">
      <c r="BW173" s="137"/>
    </row>
    <row r="174" spans="75:75" x14ac:dyDescent="0.25">
      <c r="BW174" s="137"/>
    </row>
    <row r="175" spans="75:75" x14ac:dyDescent="0.25">
      <c r="BW175" s="137"/>
    </row>
    <row r="176" spans="75:75" x14ac:dyDescent="0.25">
      <c r="BW176" s="137"/>
    </row>
    <row r="177" spans="75:75" x14ac:dyDescent="0.25">
      <c r="BW177" s="137"/>
    </row>
  </sheetData>
  <autoFilter ref="A4:CT93" xr:uid="{00000000-0009-0000-0000-000002000000}"/>
  <sortState xmlns:xlrd2="http://schemas.microsoft.com/office/spreadsheetml/2017/richdata2" ref="A5:CS93">
    <sortCondition ref="B5:B93"/>
  </sortState>
  <mergeCells count="3">
    <mergeCell ref="D3:AD3"/>
    <mergeCell ref="CK3:CS3"/>
    <mergeCell ref="CD3:CI3"/>
  </mergeCells>
  <phoneticPr fontId="2" type="noConversion"/>
  <conditionalFormatting sqref="A4">
    <cfRule type="duplicateValues" dxfId="3" priority="1"/>
  </conditionalFormatting>
  <conditionalFormatting sqref="B1:B1048576">
    <cfRule type="duplicateValues" dxfId="2" priority="3"/>
  </conditionalFormatting>
  <dataValidations disablePrompts="1" count="1">
    <dataValidation type="decimal" operator="greaterThanOrEqual" allowBlank="1" showInputMessage="1" showErrorMessage="1" error="This figure cannot be negative" sqref="BG5:BH93" xr:uid="{00000000-0002-0000-0200-000000000000}">
      <formula1>0</formula1>
    </dataValidation>
  </dataValidations>
  <pageMargins left="0.75" right="0.75" top="1" bottom="1" header="0.5" footer="0.5"/>
  <pageSetup paperSize="8" scale="38" fitToWidth="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F31"/>
  <sheetViews>
    <sheetView workbookViewId="0">
      <selection activeCell="G29" sqref="G29"/>
    </sheetView>
  </sheetViews>
  <sheetFormatPr defaultColWidth="12.7265625" defaultRowHeight="12.5" x14ac:dyDescent="0.25"/>
  <cols>
    <col min="1" max="1" width="19.26953125" style="34" customWidth="1"/>
    <col min="2" max="4" width="12.7265625" style="34" customWidth="1"/>
    <col min="5" max="5" width="4.7265625" style="34" customWidth="1"/>
    <col min="6" max="6" width="15.54296875" style="34" bestFit="1" customWidth="1"/>
    <col min="7" max="16384" width="12.7265625" style="34"/>
  </cols>
  <sheetData>
    <row r="1" spans="1:6" ht="18" x14ac:dyDescent="0.4">
      <c r="A1" s="35" t="s">
        <v>263</v>
      </c>
      <c r="B1" s="55"/>
    </row>
    <row r="2" spans="1:6" ht="13" x14ac:dyDescent="0.3">
      <c r="A2" s="36"/>
      <c r="B2" s="40"/>
    </row>
    <row r="4" spans="1:6" ht="13" x14ac:dyDescent="0.3">
      <c r="F4" s="36" t="s">
        <v>264</v>
      </c>
    </row>
    <row r="5" spans="1:6" ht="13" x14ac:dyDescent="0.3">
      <c r="A5" s="36"/>
      <c r="F5" s="36" t="s">
        <v>265</v>
      </c>
    </row>
    <row r="6" spans="1:6" ht="13" x14ac:dyDescent="0.3">
      <c r="A6" s="36"/>
      <c r="C6" s="36" t="s">
        <v>266</v>
      </c>
      <c r="D6" s="36" t="s">
        <v>266</v>
      </c>
      <c r="F6" s="36" t="s">
        <v>267</v>
      </c>
    </row>
    <row r="7" spans="1:6" x14ac:dyDescent="0.25">
      <c r="C7" s="34" t="s">
        <v>268</v>
      </c>
      <c r="D7" s="34" t="s">
        <v>268</v>
      </c>
      <c r="F7" s="34" t="s">
        <v>269</v>
      </c>
    </row>
    <row r="8" spans="1:6" x14ac:dyDescent="0.25">
      <c r="C8" s="34" t="s">
        <v>270</v>
      </c>
      <c r="D8" s="34" t="s">
        <v>271</v>
      </c>
    </row>
    <row r="9" spans="1:6" x14ac:dyDescent="0.25">
      <c r="A9" s="34" t="s">
        <v>272</v>
      </c>
      <c r="C9" s="38"/>
      <c r="D9" s="38"/>
      <c r="E9" s="38"/>
      <c r="F9" s="95">
        <f>'EYSFF (Universal)'!AE10</f>
        <v>374131</v>
      </c>
    </row>
    <row r="10" spans="1:6" ht="13.5" customHeight="1" x14ac:dyDescent="0.25">
      <c r="C10" s="38"/>
      <c r="D10" s="38"/>
      <c r="E10" s="38"/>
      <c r="F10" s="38"/>
    </row>
    <row r="11" spans="1:6" ht="13.5" customHeight="1" x14ac:dyDescent="0.25">
      <c r="A11" s="37" t="s">
        <v>266</v>
      </c>
      <c r="C11" s="38"/>
      <c r="D11" s="38"/>
      <c r="E11" s="38"/>
      <c r="F11" s="38"/>
    </row>
    <row r="12" spans="1:6" ht="13.5" customHeight="1" x14ac:dyDescent="0.25">
      <c r="A12" s="34" t="s">
        <v>273</v>
      </c>
      <c r="C12" s="196">
        <f>'EYSFF (Universal)'!I10</f>
        <v>5.6520000000000001</v>
      </c>
      <c r="D12" s="196">
        <f>'EYSFF (Additional)'!H11</f>
        <v>5.6520000000000001</v>
      </c>
      <c r="E12" s="38"/>
      <c r="F12" s="38"/>
    </row>
    <row r="13" spans="1:6" ht="13.5" customHeight="1" x14ac:dyDescent="0.25">
      <c r="A13" s="34" t="s">
        <v>274</v>
      </c>
      <c r="C13" s="38">
        <f>'EYSFF (Universal)'!O10</f>
        <v>0.23897586206896554</v>
      </c>
      <c r="D13" s="38">
        <f>'EYSFF (Additional)'!N11</f>
        <v>0.23897586206896551</v>
      </c>
      <c r="E13" s="38"/>
      <c r="F13" s="38"/>
    </row>
    <row r="14" spans="1:6" ht="13.5" customHeight="1" x14ac:dyDescent="0.25">
      <c r="A14" s="34" t="s">
        <v>275</v>
      </c>
      <c r="C14" s="38">
        <f>'EYSFF (Universal)'!U10</f>
        <v>1.292</v>
      </c>
      <c r="D14" s="38">
        <f>'EYSFF (Additional)'!T11</f>
        <v>0.31723560560078695</v>
      </c>
      <c r="E14" s="38"/>
      <c r="F14" s="38"/>
    </row>
    <row r="15" spans="1:6" ht="13.5" customHeight="1" thickBot="1" x14ac:dyDescent="0.3">
      <c r="A15" s="34" t="s">
        <v>276</v>
      </c>
      <c r="C15" s="38">
        <f>'EYSFF (Universal)'!Z10</f>
        <v>0.05</v>
      </c>
      <c r="D15" s="38">
        <f>'EYSFF (Additional)'!Y11</f>
        <v>0.05</v>
      </c>
      <c r="E15" s="38"/>
      <c r="F15" s="38"/>
    </row>
    <row r="16" spans="1:6" ht="13" thickBot="1" x14ac:dyDescent="0.3">
      <c r="A16" s="34" t="s">
        <v>277</v>
      </c>
      <c r="C16" s="542">
        <f>SUM(C12:C15)</f>
        <v>7.2329758620689653</v>
      </c>
      <c r="D16" s="542">
        <f>SUM(D12:D15)</f>
        <v>6.258211467669752</v>
      </c>
      <c r="E16" s="38"/>
      <c r="F16" s="38"/>
    </row>
    <row r="17" spans="1:6" ht="13" thickBot="1" x14ac:dyDescent="0.3">
      <c r="C17" s="38"/>
      <c r="D17" s="38"/>
      <c r="E17" s="38"/>
      <c r="F17" s="38"/>
    </row>
    <row r="18" spans="1:6" ht="13" thickBot="1" x14ac:dyDescent="0.3">
      <c r="A18" s="34" t="s">
        <v>278</v>
      </c>
      <c r="C18" s="39">
        <f>'EYSFF (Universal)'!H10</f>
        <v>60645</v>
      </c>
      <c r="D18" s="541"/>
      <c r="E18" s="38"/>
      <c r="F18" s="38">
        <f>C18*C16</f>
        <v>438643.82115517242</v>
      </c>
    </row>
    <row r="19" spans="1:6" ht="13" thickBot="1" x14ac:dyDescent="0.3">
      <c r="A19" s="34" t="s">
        <v>279</v>
      </c>
      <c r="C19" s="541"/>
      <c r="D19" s="39">
        <f>'EYSFF (Additional)'!G11</f>
        <v>23889.5</v>
      </c>
      <c r="E19" s="38"/>
      <c r="F19" s="38">
        <f>D19*D16</f>
        <v>149505.54285689653</v>
      </c>
    </row>
    <row r="21" spans="1:6" x14ac:dyDescent="0.25">
      <c r="A21" s="34" t="s">
        <v>280</v>
      </c>
    </row>
    <row r="22" spans="1:6" ht="13" thickBot="1" x14ac:dyDescent="0.3"/>
    <row r="23" spans="1:6" ht="16" thickBot="1" x14ac:dyDescent="0.4">
      <c r="A23" s="42" t="s">
        <v>281</v>
      </c>
      <c r="B23" s="43"/>
      <c r="C23" s="43"/>
      <c r="D23" s="43"/>
      <c r="E23" s="43"/>
      <c r="F23" s="41">
        <f>F9+F18+F19</f>
        <v>962280.36401206895</v>
      </c>
    </row>
    <row r="24" spans="1:6" x14ac:dyDescent="0.25">
      <c r="F24" s="38"/>
    </row>
    <row r="25" spans="1:6" ht="13" thickBot="1" x14ac:dyDescent="0.3"/>
    <row r="26" spans="1:6" ht="13.5" thickBot="1" x14ac:dyDescent="0.35">
      <c r="A26" s="36" t="s">
        <v>282</v>
      </c>
      <c r="D26" s="110"/>
    </row>
    <row r="31" spans="1:6" x14ac:dyDescent="0.25">
      <c r="A31" s="38"/>
    </row>
  </sheetData>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sheetPr>
  <dimension ref="A1:AF71"/>
  <sheetViews>
    <sheetView view="pageBreakPreview" zoomScale="90" zoomScaleNormal="110" zoomScaleSheetLayoutView="90" workbookViewId="0">
      <pane ySplit="5" topLeftCell="A6" activePane="bottomLeft" state="frozen"/>
      <selection activeCell="B1" sqref="B1"/>
      <selection pane="bottomLeft" activeCell="H24" sqref="H24"/>
    </sheetView>
  </sheetViews>
  <sheetFormatPr defaultRowHeight="12.5" x14ac:dyDescent="0.25"/>
  <cols>
    <col min="2" max="2" width="15.453125" customWidth="1"/>
    <col min="5" max="5" width="9.7265625" customWidth="1"/>
    <col min="6" max="6" width="10.7265625" customWidth="1"/>
    <col min="7" max="8" width="10.54296875" customWidth="1"/>
    <col min="10" max="10" width="15.54296875" customWidth="1"/>
    <col min="11" max="11" width="4.7265625" customWidth="1"/>
    <col min="13" max="13" width="9.7265625" customWidth="1"/>
    <col min="14" max="14" width="13.7265625" customWidth="1"/>
    <col min="15" max="15" width="11.54296875" customWidth="1"/>
    <col min="16" max="16" width="5.453125" customWidth="1"/>
    <col min="18" max="18" width="9.453125" customWidth="1"/>
    <col min="20" max="20" width="10.54296875" customWidth="1"/>
    <col min="22" max="22" width="4.26953125" customWidth="1"/>
    <col min="23" max="23" width="10" bestFit="1" customWidth="1"/>
    <col min="25" max="25" width="10.453125" customWidth="1"/>
    <col min="27" max="27" width="4" customWidth="1"/>
    <col min="29" max="29" width="11.7265625" bestFit="1" customWidth="1"/>
    <col min="30" max="30" width="3.453125" customWidth="1"/>
    <col min="31" max="31" width="12.26953125" bestFit="1" customWidth="1"/>
    <col min="32" max="32" width="11.26953125" bestFit="1" customWidth="1"/>
  </cols>
  <sheetData>
    <row r="1" spans="1:32" ht="20.149999999999999" customHeight="1" x14ac:dyDescent="0.45">
      <c r="A1" s="328" t="s">
        <v>283</v>
      </c>
      <c r="F1" s="71"/>
      <c r="G1" s="70"/>
      <c r="H1" s="329" t="s">
        <v>284</v>
      </c>
      <c r="M1" s="292"/>
      <c r="Z1" s="4"/>
    </row>
    <row r="2" spans="1:32" ht="21" x14ac:dyDescent="0.5">
      <c r="B2" s="330" t="s">
        <v>285</v>
      </c>
      <c r="G2" s="331"/>
      <c r="H2" s="332"/>
      <c r="I2" s="71"/>
      <c r="J2" s="333"/>
      <c r="K2" s="333"/>
      <c r="L2" s="333"/>
      <c r="M2" s="334"/>
      <c r="N2" s="333"/>
      <c r="O2" s="333"/>
      <c r="P2" s="333"/>
      <c r="Q2" s="333"/>
      <c r="R2" s="333"/>
      <c r="S2" s="335"/>
      <c r="T2" s="333"/>
      <c r="U2" s="335"/>
      <c r="V2" s="333"/>
      <c r="W2" s="333"/>
      <c r="X2" s="333"/>
      <c r="Y2" s="333"/>
      <c r="Z2" s="336"/>
      <c r="AA2" s="333"/>
      <c r="AB2" s="337"/>
      <c r="AC2" s="337"/>
      <c r="AE2" s="72"/>
      <c r="AF2" s="291"/>
    </row>
    <row r="3" spans="1:32" ht="14.5" x14ac:dyDescent="0.35">
      <c r="B3" s="310"/>
      <c r="G3" s="338"/>
      <c r="H3" s="319"/>
      <c r="I3" s="71"/>
      <c r="J3" s="337"/>
      <c r="K3" s="333"/>
      <c r="L3" s="333"/>
      <c r="M3" s="334"/>
      <c r="N3" s="337"/>
      <c r="O3" s="333"/>
      <c r="P3" s="333"/>
      <c r="Q3" s="333"/>
      <c r="R3" s="333"/>
      <c r="S3" s="335"/>
      <c r="T3" s="337"/>
      <c r="U3" s="335"/>
      <c r="V3" s="333"/>
      <c r="W3" s="333"/>
      <c r="X3" s="333"/>
      <c r="Y3" s="337"/>
      <c r="Z3" s="336"/>
      <c r="AA3" s="333"/>
      <c r="AB3" s="337"/>
      <c r="AC3" s="337"/>
      <c r="AE3" s="72"/>
      <c r="AF3" s="291"/>
    </row>
    <row r="4" spans="1:32" ht="14.5" x14ac:dyDescent="0.35">
      <c r="B4" s="339" t="s">
        <v>286</v>
      </c>
      <c r="E4" s="340"/>
      <c r="G4" s="70"/>
      <c r="H4" s="71"/>
      <c r="K4" s="339"/>
      <c r="L4" s="339"/>
      <c r="M4" s="341"/>
      <c r="N4" s="342"/>
      <c r="O4" s="339"/>
      <c r="P4" s="339"/>
      <c r="Q4" s="339"/>
      <c r="R4" s="339"/>
      <c r="S4" s="343"/>
      <c r="T4" s="342"/>
      <c r="U4" s="343"/>
      <c r="Z4" s="344"/>
      <c r="AB4" s="71"/>
      <c r="AC4" s="345"/>
      <c r="AE4" s="72"/>
      <c r="AF4" s="291"/>
    </row>
    <row r="5" spans="1:32" ht="15" thickBot="1" x14ac:dyDescent="0.4">
      <c r="B5" t="s">
        <v>287</v>
      </c>
      <c r="E5" s="71"/>
      <c r="F5" s="72"/>
      <c r="G5" s="70"/>
      <c r="H5" s="71"/>
      <c r="I5" s="71"/>
      <c r="J5" s="457">
        <v>0.9</v>
      </c>
      <c r="L5" s="333"/>
      <c r="M5" s="346"/>
      <c r="N5" s="381">
        <v>4.8000000000000001E-2</v>
      </c>
      <c r="R5" s="333">
        <f>T3/H7</f>
        <v>0</v>
      </c>
      <c r="S5" s="347">
        <v>2.75</v>
      </c>
      <c r="T5" s="381">
        <v>4.7E-2</v>
      </c>
      <c r="U5" s="347"/>
      <c r="Y5" s="462">
        <v>5.0000000000000001E-3</v>
      </c>
      <c r="Z5" s="4"/>
      <c r="AB5" s="71"/>
      <c r="AC5" s="348"/>
      <c r="AE5" s="349"/>
      <c r="AF5" s="291"/>
    </row>
    <row r="6" spans="1:32" ht="15" thickBot="1" x14ac:dyDescent="0.4">
      <c r="B6" s="73"/>
      <c r="C6" s="74"/>
      <c r="E6" s="588" t="s">
        <v>288</v>
      </c>
      <c r="F6" s="589"/>
      <c r="G6" s="589"/>
      <c r="H6" s="590"/>
      <c r="I6" s="591" t="s">
        <v>289</v>
      </c>
      <c r="J6" s="592"/>
      <c r="L6" s="593" t="s">
        <v>290</v>
      </c>
      <c r="M6" s="594"/>
      <c r="N6" s="594"/>
      <c r="O6" s="595"/>
      <c r="Q6" s="596" t="s">
        <v>291</v>
      </c>
      <c r="R6" s="597"/>
      <c r="S6" s="597"/>
      <c r="T6" s="597"/>
      <c r="U6" s="598"/>
      <c r="W6" s="583" t="s">
        <v>292</v>
      </c>
      <c r="X6" s="584"/>
      <c r="Y6" s="585"/>
      <c r="Z6" s="382"/>
      <c r="AB6" s="586" t="s">
        <v>293</v>
      </c>
      <c r="AC6" s="587"/>
      <c r="AE6" s="72"/>
      <c r="AF6" s="291"/>
    </row>
    <row r="7" spans="1:32" ht="14.5" x14ac:dyDescent="0.35">
      <c r="B7" t="s">
        <v>294</v>
      </c>
      <c r="C7" s="64"/>
      <c r="E7" s="409"/>
      <c r="F7" s="410"/>
      <c r="G7" s="411"/>
      <c r="H7" s="458">
        <v>368684</v>
      </c>
      <c r="I7" s="82"/>
      <c r="J7" s="412">
        <f>J275</f>
        <v>0</v>
      </c>
      <c r="L7" s="373"/>
      <c r="M7" s="397"/>
      <c r="N7" s="458">
        <f>N275</f>
        <v>0</v>
      </c>
      <c r="O7" s="374"/>
      <c r="Q7" s="383"/>
      <c r="R7" s="62"/>
      <c r="S7" s="350"/>
      <c r="T7" s="458">
        <f>T275</f>
        <v>0</v>
      </c>
      <c r="U7" s="434"/>
      <c r="W7" s="383"/>
      <c r="X7" s="75"/>
      <c r="Y7" s="351">
        <f>Y275</f>
        <v>0</v>
      </c>
      <c r="Z7" s="384"/>
      <c r="AB7" s="368"/>
      <c r="AC7" s="369">
        <f>AC275</f>
        <v>0</v>
      </c>
      <c r="AE7" s="449">
        <v>374131</v>
      </c>
      <c r="AF7" s="291"/>
    </row>
    <row r="8" spans="1:32" ht="15" thickBot="1" x14ac:dyDescent="0.4">
      <c r="B8" t="s">
        <v>295</v>
      </c>
      <c r="C8" s="65"/>
      <c r="E8" s="413"/>
      <c r="F8" s="352"/>
      <c r="G8" s="352"/>
      <c r="H8" s="352"/>
      <c r="I8" s="353">
        <f>6.28*90%</f>
        <v>5.6520000000000001</v>
      </c>
      <c r="J8" s="414"/>
      <c r="L8" s="385"/>
      <c r="M8" s="354">
        <v>1.3</v>
      </c>
      <c r="O8" s="374"/>
      <c r="Q8" s="385"/>
      <c r="R8" s="83"/>
      <c r="S8" s="355">
        <v>5.0999999999999996</v>
      </c>
      <c r="T8" s="435"/>
      <c r="U8" s="436"/>
      <c r="W8" s="385"/>
      <c r="X8" s="356">
        <v>0.05</v>
      </c>
      <c r="Y8" s="357"/>
      <c r="Z8" s="386"/>
      <c r="AB8" s="368"/>
      <c r="AC8" s="370"/>
      <c r="AE8" s="450">
        <v>5.6100014994751835</v>
      </c>
      <c r="AF8" s="291"/>
    </row>
    <row r="9" spans="1:32" s="71" customFormat="1" ht="44" thickBot="1" x14ac:dyDescent="0.4">
      <c r="A9" s="78" t="s">
        <v>296</v>
      </c>
      <c r="B9" s="358" t="s">
        <v>297</v>
      </c>
      <c r="C9" s="359" t="s">
        <v>298</v>
      </c>
      <c r="D9" s="78" t="s">
        <v>299</v>
      </c>
      <c r="E9" s="415" t="s">
        <v>300</v>
      </c>
      <c r="F9" s="360" t="s">
        <v>301</v>
      </c>
      <c r="G9" s="360" t="s">
        <v>302</v>
      </c>
      <c r="H9" s="361" t="s">
        <v>303</v>
      </c>
      <c r="I9" s="361" t="s">
        <v>304</v>
      </c>
      <c r="J9" s="372" t="s">
        <v>289</v>
      </c>
      <c r="K9" s="78"/>
      <c r="L9" s="398" t="s">
        <v>305</v>
      </c>
      <c r="M9" s="362" t="s">
        <v>306</v>
      </c>
      <c r="N9" s="318" t="s">
        <v>307</v>
      </c>
      <c r="O9" s="372" t="s">
        <v>308</v>
      </c>
      <c r="P9" s="78"/>
      <c r="Q9" s="504" t="s">
        <v>309</v>
      </c>
      <c r="R9" s="467" t="s">
        <v>310</v>
      </c>
      <c r="S9" s="505" t="s">
        <v>311</v>
      </c>
      <c r="T9" s="467" t="s">
        <v>312</v>
      </c>
      <c r="U9" s="438" t="s">
        <v>313</v>
      </c>
      <c r="V9" s="78"/>
      <c r="W9" s="500" t="s">
        <v>303</v>
      </c>
      <c r="X9" s="467"/>
      <c r="Y9" s="467" t="s">
        <v>314</v>
      </c>
      <c r="Z9" s="387" t="s">
        <v>315</v>
      </c>
      <c r="AA9" s="78"/>
      <c r="AB9" s="371" t="s">
        <v>316</v>
      </c>
      <c r="AC9" s="372" t="s">
        <v>317</v>
      </c>
      <c r="AD9" s="363"/>
      <c r="AE9" s="527" t="s">
        <v>318</v>
      </c>
      <c r="AF9" s="364"/>
    </row>
    <row r="10" spans="1:32" ht="15" thickBot="1" x14ac:dyDescent="0.4">
      <c r="A10">
        <v>1000</v>
      </c>
      <c r="B10" s="301" t="s">
        <v>319</v>
      </c>
      <c r="C10" s="64" t="s">
        <v>320</v>
      </c>
      <c r="D10">
        <v>1000</v>
      </c>
      <c r="E10" s="417">
        <v>29640</v>
      </c>
      <c r="F10" s="302">
        <v>14625</v>
      </c>
      <c r="G10" s="302">
        <v>16380</v>
      </c>
      <c r="H10" s="94">
        <f>SUM(E10:G10)</f>
        <v>60645</v>
      </c>
      <c r="I10" s="459">
        <f>$I$8</f>
        <v>5.6520000000000001</v>
      </c>
      <c r="J10" s="455">
        <f>H10*I10</f>
        <v>342765.54000000004</v>
      </c>
      <c r="K10" s="453"/>
      <c r="L10" s="460">
        <v>0.18382758620689654</v>
      </c>
      <c r="M10" s="463">
        <v>11148.223965517242</v>
      </c>
      <c r="N10" s="465">
        <f>M10*$M$8</f>
        <v>14492.691155172415</v>
      </c>
      <c r="O10" s="464">
        <f>N10/H10</f>
        <v>0.23897586206896554</v>
      </c>
      <c r="Q10" s="508">
        <v>0.25333333333333335</v>
      </c>
      <c r="R10" s="506">
        <f t="shared" ref="R10:R64" si="0">H10*Q10</f>
        <v>15363.400000000001</v>
      </c>
      <c r="S10" s="507">
        <f>$S$8</f>
        <v>5.0999999999999996</v>
      </c>
      <c r="T10" s="454">
        <f>R10*$S$8</f>
        <v>78353.34</v>
      </c>
      <c r="U10" s="466">
        <f>T10/H10</f>
        <v>1.292</v>
      </c>
      <c r="W10" s="498">
        <f t="shared" ref="W10:W66" si="1">H10</f>
        <v>60645</v>
      </c>
      <c r="X10" s="496">
        <f>$X$8</f>
        <v>0.05</v>
      </c>
      <c r="Y10" s="497">
        <f>W10*$X$8</f>
        <v>3032.25</v>
      </c>
      <c r="Z10" s="495">
        <f t="shared" ref="Z10:Z66" si="2">Y10/W10</f>
        <v>0.05</v>
      </c>
      <c r="AB10" s="375">
        <f>AC10/H10</f>
        <v>7.2329758620689653</v>
      </c>
      <c r="AC10" s="376">
        <f>Y10+T10+N10+J10</f>
        <v>438643.82115517242</v>
      </c>
      <c r="AD10" s="293"/>
      <c r="AE10" s="451">
        <v>374131</v>
      </c>
      <c r="AF10" s="291"/>
    </row>
    <row r="11" spans="1:32" ht="14.5" x14ac:dyDescent="0.35">
      <c r="A11">
        <v>2001</v>
      </c>
      <c r="B11" s="301" t="s">
        <v>321</v>
      </c>
      <c r="C11" s="64" t="s">
        <v>320</v>
      </c>
      <c r="D11">
        <v>2001</v>
      </c>
      <c r="E11" s="417">
        <v>12090</v>
      </c>
      <c r="F11" s="302">
        <v>8970</v>
      </c>
      <c r="G11" s="302">
        <v>10980</v>
      </c>
      <c r="H11" s="94">
        <f t="shared" ref="H11:H65" si="3">SUM(E11:G11)</f>
        <v>32040</v>
      </c>
      <c r="I11" s="303">
        <f t="shared" ref="I11:I66" si="4">$I$8</f>
        <v>5.6520000000000001</v>
      </c>
      <c r="J11" s="455">
        <f t="shared" ref="J11:J66" si="5">H11*I11</f>
        <v>181090.08000000002</v>
      </c>
      <c r="L11" s="460">
        <v>0.17699999999999999</v>
      </c>
      <c r="M11" s="463">
        <v>5671.08</v>
      </c>
      <c r="N11" s="465">
        <f t="shared" ref="N11:N65" si="6">M11*$M$8</f>
        <v>7372.4040000000005</v>
      </c>
      <c r="O11" s="464">
        <f t="shared" ref="O11:O65" si="7">N11/H11</f>
        <v>0.23010000000000003</v>
      </c>
      <c r="Q11" s="508">
        <v>2.1739130434782608E-2</v>
      </c>
      <c r="R11" s="506">
        <f t="shared" si="0"/>
        <v>696.52173913043475</v>
      </c>
      <c r="S11" s="507">
        <f t="shared" ref="S11:S65" si="8">$S$8</f>
        <v>5.0999999999999996</v>
      </c>
      <c r="T11" s="454">
        <f t="shared" ref="T11:T64" si="9">R11*$S$8</f>
        <v>3552.260869565217</v>
      </c>
      <c r="U11" s="466">
        <f t="shared" ref="U11:U65" si="10">T11/H11</f>
        <v>0.11086956521739129</v>
      </c>
      <c r="W11" s="498">
        <f t="shared" si="1"/>
        <v>32040</v>
      </c>
      <c r="X11" s="496">
        <f t="shared" ref="X11:X66" si="11">$X$8</f>
        <v>0.05</v>
      </c>
      <c r="Y11" s="497">
        <f t="shared" ref="Y11:Y66" si="12">W11*$X$8</f>
        <v>1602</v>
      </c>
      <c r="Z11" s="495">
        <f t="shared" si="2"/>
        <v>0.05</v>
      </c>
      <c r="AB11" s="375">
        <f t="shared" ref="AB11:AB66" si="13">AC11/H11</f>
        <v>6.0429695652173923</v>
      </c>
      <c r="AC11" s="376">
        <f t="shared" ref="AC11:AC66" si="14">Y11+T11+N11+J11</f>
        <v>193616.74486956524</v>
      </c>
      <c r="AD11" s="293"/>
      <c r="AE11" s="528"/>
      <c r="AF11" s="291"/>
    </row>
    <row r="12" spans="1:32" ht="14.5" x14ac:dyDescent="0.35">
      <c r="A12">
        <v>3401</v>
      </c>
      <c r="B12" s="301" t="s">
        <v>322</v>
      </c>
      <c r="C12" s="64" t="s">
        <v>320</v>
      </c>
      <c r="D12">
        <v>3401</v>
      </c>
      <c r="E12" s="417">
        <v>16770</v>
      </c>
      <c r="F12" s="302">
        <v>14625</v>
      </c>
      <c r="G12" s="302">
        <v>13320</v>
      </c>
      <c r="H12" s="94">
        <f t="shared" si="3"/>
        <v>44715</v>
      </c>
      <c r="I12" s="303">
        <f t="shared" si="4"/>
        <v>5.6520000000000001</v>
      </c>
      <c r="J12" s="455">
        <f t="shared" si="5"/>
        <v>252729.18</v>
      </c>
      <c r="L12" s="460">
        <v>0.18536363636363637</v>
      </c>
      <c r="M12" s="463">
        <v>8288.5349999999999</v>
      </c>
      <c r="N12" s="465">
        <f t="shared" si="6"/>
        <v>10775.095499999999</v>
      </c>
      <c r="O12" s="464">
        <f t="shared" si="7"/>
        <v>0.24097272727272726</v>
      </c>
      <c r="Q12" s="508">
        <v>4.3609527004360949E-3</v>
      </c>
      <c r="R12" s="506">
        <f t="shared" si="0"/>
        <v>194.99999999999997</v>
      </c>
      <c r="S12" s="507">
        <f t="shared" si="8"/>
        <v>5.0999999999999996</v>
      </c>
      <c r="T12" s="454">
        <f t="shared" si="9"/>
        <v>994.49999999999977</v>
      </c>
      <c r="U12" s="466">
        <f t="shared" si="10"/>
        <v>2.2240858772224082E-2</v>
      </c>
      <c r="W12" s="498">
        <f t="shared" si="1"/>
        <v>44715</v>
      </c>
      <c r="X12" s="496">
        <f t="shared" si="11"/>
        <v>0.05</v>
      </c>
      <c r="Y12" s="497">
        <f t="shared" si="12"/>
        <v>2235.75</v>
      </c>
      <c r="Z12" s="495">
        <f t="shared" si="2"/>
        <v>0.05</v>
      </c>
      <c r="AB12" s="375">
        <f t="shared" si="13"/>
        <v>5.9652135860449507</v>
      </c>
      <c r="AC12" s="376">
        <f t="shared" si="14"/>
        <v>266734.52549999999</v>
      </c>
      <c r="AD12" s="293"/>
      <c r="AE12" s="528"/>
      <c r="AF12" s="291"/>
    </row>
    <row r="13" spans="1:32" ht="14.5" x14ac:dyDescent="0.35">
      <c r="A13">
        <v>2003</v>
      </c>
      <c r="B13" s="309" t="s">
        <v>46</v>
      </c>
      <c r="C13" s="64" t="s">
        <v>320</v>
      </c>
      <c r="D13">
        <v>2003</v>
      </c>
      <c r="E13" s="417">
        <v>5070</v>
      </c>
      <c r="F13" s="302">
        <v>3900</v>
      </c>
      <c r="G13" s="302">
        <v>3420</v>
      </c>
      <c r="H13" s="94">
        <f t="shared" si="3"/>
        <v>12390</v>
      </c>
      <c r="I13" s="303">
        <f t="shared" si="4"/>
        <v>5.6520000000000001</v>
      </c>
      <c r="J13" s="455">
        <f t="shared" si="5"/>
        <v>70028.28</v>
      </c>
      <c r="L13" s="461">
        <v>0.158</v>
      </c>
      <c r="M13" s="463">
        <v>1957.6200000000001</v>
      </c>
      <c r="N13" s="465">
        <f t="shared" si="6"/>
        <v>2544.9060000000004</v>
      </c>
      <c r="O13" s="464">
        <f t="shared" si="7"/>
        <v>0.20540000000000003</v>
      </c>
      <c r="Q13" s="508">
        <v>0.05</v>
      </c>
      <c r="R13" s="506">
        <f t="shared" si="0"/>
        <v>619.5</v>
      </c>
      <c r="S13" s="507">
        <f t="shared" si="8"/>
        <v>5.0999999999999996</v>
      </c>
      <c r="T13" s="454">
        <f t="shared" si="9"/>
        <v>3159.45</v>
      </c>
      <c r="U13" s="466">
        <f t="shared" si="10"/>
        <v>0.255</v>
      </c>
      <c r="W13" s="498">
        <f t="shared" si="1"/>
        <v>12390</v>
      </c>
      <c r="X13" s="496">
        <f t="shared" si="11"/>
        <v>0.05</v>
      </c>
      <c r="Y13" s="497">
        <f t="shared" si="12"/>
        <v>619.5</v>
      </c>
      <c r="Z13" s="495">
        <f t="shared" si="2"/>
        <v>0.05</v>
      </c>
      <c r="AB13" s="375">
        <f t="shared" si="13"/>
        <v>6.1623999999999999</v>
      </c>
      <c r="AC13" s="376">
        <f t="shared" si="14"/>
        <v>76352.135999999999</v>
      </c>
      <c r="AD13" s="293"/>
      <c r="AE13" s="528"/>
      <c r="AF13" s="291"/>
    </row>
    <row r="14" spans="1:32" ht="14.5" x14ac:dyDescent="0.35">
      <c r="A14">
        <v>2002</v>
      </c>
      <c r="B14" s="301" t="s">
        <v>323</v>
      </c>
      <c r="C14" s="64" t="s">
        <v>320</v>
      </c>
      <c r="D14">
        <v>2002</v>
      </c>
      <c r="E14" s="417">
        <v>10530</v>
      </c>
      <c r="F14" s="302">
        <v>6825</v>
      </c>
      <c r="G14" s="302">
        <v>6660</v>
      </c>
      <c r="H14" s="94">
        <f t="shared" si="3"/>
        <v>24015</v>
      </c>
      <c r="I14" s="303">
        <f t="shared" si="4"/>
        <v>5.6520000000000001</v>
      </c>
      <c r="J14" s="455">
        <f t="shared" si="5"/>
        <v>135732.78</v>
      </c>
      <c r="L14" s="460">
        <v>0.16600000000000001</v>
      </c>
      <c r="M14" s="463">
        <v>3986.4900000000002</v>
      </c>
      <c r="N14" s="465">
        <f t="shared" si="6"/>
        <v>5182.4370000000008</v>
      </c>
      <c r="O14" s="464">
        <f t="shared" si="7"/>
        <v>0.21580000000000005</v>
      </c>
      <c r="Q14" s="508">
        <v>5.7142857142857141E-2</v>
      </c>
      <c r="R14" s="506">
        <f t="shared" si="0"/>
        <v>1372.2857142857142</v>
      </c>
      <c r="S14" s="507">
        <f t="shared" si="8"/>
        <v>5.0999999999999996</v>
      </c>
      <c r="T14" s="454">
        <f t="shared" si="9"/>
        <v>6998.6571428571424</v>
      </c>
      <c r="U14" s="466">
        <f t="shared" si="10"/>
        <v>0.29142857142857143</v>
      </c>
      <c r="W14" s="498">
        <f t="shared" si="1"/>
        <v>24015</v>
      </c>
      <c r="X14" s="496">
        <f t="shared" si="11"/>
        <v>0.05</v>
      </c>
      <c r="Y14" s="497">
        <f t="shared" si="12"/>
        <v>1200.75</v>
      </c>
      <c r="Z14" s="495">
        <f t="shared" si="2"/>
        <v>0.05</v>
      </c>
      <c r="AB14" s="375">
        <f t="shared" si="13"/>
        <v>6.2092285714285715</v>
      </c>
      <c r="AC14" s="376">
        <f t="shared" si="14"/>
        <v>149114.62414285715</v>
      </c>
      <c r="AD14" s="293"/>
      <c r="AE14" s="528"/>
      <c r="AF14" s="291"/>
    </row>
    <row r="15" spans="1:32" ht="14.5" x14ac:dyDescent="0.35">
      <c r="A15">
        <v>3300</v>
      </c>
      <c r="B15" s="301" t="s">
        <v>324</v>
      </c>
      <c r="C15" s="64" t="s">
        <v>320</v>
      </c>
      <c r="D15">
        <v>3300</v>
      </c>
      <c r="E15" s="417">
        <v>5655</v>
      </c>
      <c r="F15" s="302">
        <v>4095</v>
      </c>
      <c r="G15" s="302">
        <v>5220</v>
      </c>
      <c r="H15" s="94">
        <f t="shared" si="3"/>
        <v>14970</v>
      </c>
      <c r="I15" s="303">
        <f t="shared" si="4"/>
        <v>5.6520000000000001</v>
      </c>
      <c r="J15" s="455">
        <f t="shared" si="5"/>
        <v>84610.44</v>
      </c>
      <c r="L15" s="460">
        <v>9.2777777777777778E-2</v>
      </c>
      <c r="M15" s="463">
        <v>1388.8833333333334</v>
      </c>
      <c r="N15" s="465">
        <f t="shared" si="6"/>
        <v>1805.5483333333336</v>
      </c>
      <c r="O15" s="464">
        <f t="shared" si="7"/>
        <v>0.12061111111111113</v>
      </c>
      <c r="Q15" s="508">
        <v>0</v>
      </c>
      <c r="R15" s="506">
        <f t="shared" si="0"/>
        <v>0</v>
      </c>
      <c r="S15" s="507">
        <f t="shared" si="8"/>
        <v>5.0999999999999996</v>
      </c>
      <c r="T15" s="454">
        <f t="shared" si="9"/>
        <v>0</v>
      </c>
      <c r="U15" s="466">
        <f t="shared" si="10"/>
        <v>0</v>
      </c>
      <c r="W15" s="498">
        <f t="shared" si="1"/>
        <v>14970</v>
      </c>
      <c r="X15" s="496">
        <f t="shared" si="11"/>
        <v>0.05</v>
      </c>
      <c r="Y15" s="497">
        <f t="shared" si="12"/>
        <v>748.5</v>
      </c>
      <c r="Z15" s="495">
        <f t="shared" si="2"/>
        <v>0.05</v>
      </c>
      <c r="AB15" s="375">
        <f t="shared" si="13"/>
        <v>5.8226111111111116</v>
      </c>
      <c r="AC15" s="376">
        <f t="shared" si="14"/>
        <v>87164.488333333342</v>
      </c>
      <c r="AD15" s="293"/>
      <c r="AE15" s="528"/>
      <c r="AF15" s="291"/>
    </row>
    <row r="16" spans="1:32" ht="14.5" x14ac:dyDescent="0.35">
      <c r="A16">
        <v>5206</v>
      </c>
      <c r="B16" s="301" t="s">
        <v>325</v>
      </c>
      <c r="C16" s="64" t="s">
        <v>320</v>
      </c>
      <c r="D16">
        <v>5206</v>
      </c>
      <c r="E16" s="417">
        <v>13650</v>
      </c>
      <c r="F16" s="302">
        <v>8970</v>
      </c>
      <c r="G16" s="302">
        <v>6660</v>
      </c>
      <c r="H16" s="94">
        <f t="shared" si="3"/>
        <v>29280</v>
      </c>
      <c r="I16" s="303">
        <f t="shared" si="4"/>
        <v>5.6520000000000001</v>
      </c>
      <c r="J16" s="455">
        <f t="shared" si="5"/>
        <v>165490.56</v>
      </c>
      <c r="L16" s="460">
        <v>0.19300000000000003</v>
      </c>
      <c r="M16" s="463">
        <v>5651.0400000000009</v>
      </c>
      <c r="N16" s="465">
        <f t="shared" si="6"/>
        <v>7346.3520000000017</v>
      </c>
      <c r="O16" s="464">
        <f t="shared" si="7"/>
        <v>0.25090000000000007</v>
      </c>
      <c r="Q16" s="508">
        <v>0.10869565217391304</v>
      </c>
      <c r="R16" s="506">
        <f t="shared" si="0"/>
        <v>3182.608695652174</v>
      </c>
      <c r="S16" s="507">
        <f t="shared" si="8"/>
        <v>5.0999999999999996</v>
      </c>
      <c r="T16" s="454">
        <f t="shared" si="9"/>
        <v>16231.304347826086</v>
      </c>
      <c r="U16" s="466">
        <f t="shared" si="10"/>
        <v>0.55434782608695654</v>
      </c>
      <c r="W16" s="498">
        <f t="shared" si="1"/>
        <v>29280</v>
      </c>
      <c r="X16" s="496">
        <f t="shared" si="11"/>
        <v>0.05</v>
      </c>
      <c r="Y16" s="497">
        <f t="shared" si="12"/>
        <v>1464</v>
      </c>
      <c r="Z16" s="495">
        <f t="shared" si="2"/>
        <v>0.05</v>
      </c>
      <c r="AB16" s="375">
        <f t="shared" si="13"/>
        <v>6.5072478260869566</v>
      </c>
      <c r="AC16" s="376">
        <f t="shared" si="14"/>
        <v>190532.21634782609</v>
      </c>
      <c r="AD16" s="293"/>
      <c r="AE16" s="528"/>
      <c r="AF16" s="291"/>
    </row>
    <row r="17" spans="1:32" ht="14.5" x14ac:dyDescent="0.35">
      <c r="A17">
        <v>2084</v>
      </c>
      <c r="B17" s="301" t="s">
        <v>53</v>
      </c>
      <c r="C17" s="64" t="s">
        <v>320</v>
      </c>
      <c r="D17">
        <v>2084</v>
      </c>
      <c r="E17" s="417">
        <v>11895</v>
      </c>
      <c r="F17" s="302">
        <v>7215</v>
      </c>
      <c r="G17" s="302">
        <v>10980</v>
      </c>
      <c r="H17" s="94">
        <f t="shared" si="3"/>
        <v>30090</v>
      </c>
      <c r="I17" s="303">
        <f t="shared" si="4"/>
        <v>5.6520000000000001</v>
      </c>
      <c r="J17" s="455">
        <f t="shared" si="5"/>
        <v>170068.68</v>
      </c>
      <c r="L17" s="460">
        <v>0.21042857142857144</v>
      </c>
      <c r="M17" s="463">
        <v>6331.7957142857149</v>
      </c>
      <c r="N17" s="465">
        <f t="shared" si="6"/>
        <v>8231.3344285714302</v>
      </c>
      <c r="O17" s="464">
        <f t="shared" si="7"/>
        <v>0.27355714285714289</v>
      </c>
      <c r="Q17" s="508">
        <v>0.32432432432432434</v>
      </c>
      <c r="R17" s="506">
        <f t="shared" si="0"/>
        <v>9758.9189189189201</v>
      </c>
      <c r="S17" s="507">
        <f t="shared" si="8"/>
        <v>5.0999999999999996</v>
      </c>
      <c r="T17" s="454">
        <f t="shared" si="9"/>
        <v>49770.486486486487</v>
      </c>
      <c r="U17" s="466">
        <f t="shared" si="10"/>
        <v>1.654054054054054</v>
      </c>
      <c r="W17" s="498">
        <f t="shared" si="1"/>
        <v>30090</v>
      </c>
      <c r="X17" s="496">
        <f t="shared" si="11"/>
        <v>0.05</v>
      </c>
      <c r="Y17" s="497">
        <f t="shared" si="12"/>
        <v>1504.5</v>
      </c>
      <c r="Z17" s="495">
        <f t="shared" si="2"/>
        <v>0.05</v>
      </c>
      <c r="AB17" s="375">
        <f t="shared" si="13"/>
        <v>7.6296111969111964</v>
      </c>
      <c r="AC17" s="376">
        <f t="shared" si="14"/>
        <v>229575.0009150579</v>
      </c>
      <c r="AD17" s="293"/>
      <c r="AE17" s="528"/>
      <c r="AF17" s="291"/>
    </row>
    <row r="18" spans="1:32" ht="14.5" x14ac:dyDescent="0.35">
      <c r="A18">
        <v>2010</v>
      </c>
      <c r="B18" s="301" t="s">
        <v>326</v>
      </c>
      <c r="C18" s="64" t="s">
        <v>320</v>
      </c>
      <c r="D18">
        <v>2010</v>
      </c>
      <c r="E18" s="417">
        <v>19695</v>
      </c>
      <c r="F18" s="302">
        <v>9360</v>
      </c>
      <c r="G18" s="302">
        <v>16380</v>
      </c>
      <c r="H18" s="94">
        <f t="shared" si="3"/>
        <v>45435</v>
      </c>
      <c r="I18" s="303">
        <f t="shared" si="4"/>
        <v>5.6520000000000001</v>
      </c>
      <c r="J18" s="455">
        <f t="shared" si="5"/>
        <v>256798.62</v>
      </c>
      <c r="L18" s="460">
        <v>0.17466666666666666</v>
      </c>
      <c r="M18" s="463">
        <v>7935.98</v>
      </c>
      <c r="N18" s="465">
        <f t="shared" si="6"/>
        <v>10316.773999999999</v>
      </c>
      <c r="O18" s="464">
        <f t="shared" si="7"/>
        <v>0.22706666666666667</v>
      </c>
      <c r="Q18" s="508">
        <v>6.25E-2</v>
      </c>
      <c r="R18" s="506">
        <f t="shared" si="0"/>
        <v>2839.6875</v>
      </c>
      <c r="S18" s="507">
        <f t="shared" si="8"/>
        <v>5.0999999999999996</v>
      </c>
      <c r="T18" s="454">
        <f t="shared" si="9"/>
        <v>14482.406249999998</v>
      </c>
      <c r="U18" s="466">
        <f t="shared" si="10"/>
        <v>0.31874999999999998</v>
      </c>
      <c r="W18" s="498">
        <f t="shared" si="1"/>
        <v>45435</v>
      </c>
      <c r="X18" s="496">
        <f t="shared" si="11"/>
        <v>0.05</v>
      </c>
      <c r="Y18" s="497">
        <f t="shared" si="12"/>
        <v>2271.75</v>
      </c>
      <c r="Z18" s="495">
        <f t="shared" si="2"/>
        <v>0.05</v>
      </c>
      <c r="AB18" s="375">
        <f t="shared" si="13"/>
        <v>6.2478166666666661</v>
      </c>
      <c r="AC18" s="376">
        <f t="shared" si="14"/>
        <v>283869.55024999997</v>
      </c>
      <c r="AD18" s="293"/>
      <c r="AE18" s="528"/>
      <c r="AF18" s="291"/>
    </row>
    <row r="19" spans="1:32" ht="14.5" x14ac:dyDescent="0.35">
      <c r="A19">
        <v>2012</v>
      </c>
      <c r="B19" s="301" t="s">
        <v>327</v>
      </c>
      <c r="C19" s="64" t="s">
        <v>320</v>
      </c>
      <c r="D19">
        <v>2012</v>
      </c>
      <c r="E19" s="417">
        <v>9945</v>
      </c>
      <c r="F19" s="302">
        <v>6825</v>
      </c>
      <c r="G19" s="302">
        <v>9180</v>
      </c>
      <c r="H19" s="94">
        <f t="shared" si="3"/>
        <v>25950</v>
      </c>
      <c r="I19" s="303">
        <f t="shared" si="4"/>
        <v>5.6520000000000001</v>
      </c>
      <c r="J19" s="455">
        <f t="shared" si="5"/>
        <v>146669.4</v>
      </c>
      <c r="L19" s="460">
        <v>0.12754545454545455</v>
      </c>
      <c r="M19" s="463">
        <v>3309.8045454545454</v>
      </c>
      <c r="N19" s="465">
        <f t="shared" si="6"/>
        <v>4302.7459090909088</v>
      </c>
      <c r="O19" s="464">
        <f t="shared" si="7"/>
        <v>0.16580909090909091</v>
      </c>
      <c r="Q19" s="508">
        <v>0.17142857142857143</v>
      </c>
      <c r="R19" s="506">
        <f t="shared" si="0"/>
        <v>4448.5714285714284</v>
      </c>
      <c r="S19" s="507">
        <f t="shared" si="8"/>
        <v>5.0999999999999996</v>
      </c>
      <c r="T19" s="454">
        <f t="shared" si="9"/>
        <v>22687.714285714283</v>
      </c>
      <c r="U19" s="466">
        <f t="shared" si="10"/>
        <v>0.87428571428571411</v>
      </c>
      <c r="W19" s="498">
        <f t="shared" si="1"/>
        <v>25950</v>
      </c>
      <c r="X19" s="496">
        <f t="shared" si="11"/>
        <v>0.05</v>
      </c>
      <c r="Y19" s="497">
        <f t="shared" si="12"/>
        <v>1297.5</v>
      </c>
      <c r="Z19" s="495">
        <f t="shared" si="2"/>
        <v>0.05</v>
      </c>
      <c r="AB19" s="375">
        <f t="shared" si="13"/>
        <v>6.7420948051948049</v>
      </c>
      <c r="AC19" s="376">
        <f t="shared" si="14"/>
        <v>174957.36019480519</v>
      </c>
      <c r="AD19" s="293"/>
      <c r="AE19" s="528"/>
      <c r="AF19" s="291"/>
    </row>
    <row r="20" spans="1:32" ht="14.5" x14ac:dyDescent="0.35">
      <c r="A20">
        <v>3410</v>
      </c>
      <c r="B20" s="301" t="s">
        <v>328</v>
      </c>
      <c r="C20" s="64" t="s">
        <v>320</v>
      </c>
      <c r="D20">
        <v>3410</v>
      </c>
      <c r="E20" s="417">
        <v>5655</v>
      </c>
      <c r="F20" s="302">
        <v>4290</v>
      </c>
      <c r="G20" s="302">
        <v>4500</v>
      </c>
      <c r="H20" s="94">
        <f t="shared" si="3"/>
        <v>14445</v>
      </c>
      <c r="I20" s="303">
        <f t="shared" si="4"/>
        <v>5.6520000000000001</v>
      </c>
      <c r="J20" s="455">
        <f t="shared" si="5"/>
        <v>81643.14</v>
      </c>
      <c r="L20" s="460">
        <v>0.18174999999999999</v>
      </c>
      <c r="M20" s="463">
        <v>2625.3787499999999</v>
      </c>
      <c r="N20" s="465">
        <f t="shared" si="6"/>
        <v>3412.9923749999998</v>
      </c>
      <c r="O20" s="464">
        <f t="shared" si="7"/>
        <v>0.23627499999999999</v>
      </c>
      <c r="Q20" s="508">
        <v>0</v>
      </c>
      <c r="R20" s="506">
        <f t="shared" si="0"/>
        <v>0</v>
      </c>
      <c r="S20" s="507">
        <f t="shared" si="8"/>
        <v>5.0999999999999996</v>
      </c>
      <c r="T20" s="454">
        <f t="shared" si="9"/>
        <v>0</v>
      </c>
      <c r="U20" s="466">
        <f t="shared" si="10"/>
        <v>0</v>
      </c>
      <c r="W20" s="498">
        <f t="shared" si="1"/>
        <v>14445</v>
      </c>
      <c r="X20" s="496">
        <f t="shared" si="11"/>
        <v>0.05</v>
      </c>
      <c r="Y20" s="497">
        <f t="shared" si="12"/>
        <v>722.25</v>
      </c>
      <c r="Z20" s="495">
        <f t="shared" si="2"/>
        <v>0.05</v>
      </c>
      <c r="AB20" s="375">
        <f t="shared" si="13"/>
        <v>5.938275</v>
      </c>
      <c r="AC20" s="376">
        <f t="shared" si="14"/>
        <v>85778.382375000001</v>
      </c>
      <c r="AD20" s="293"/>
      <c r="AE20" s="528"/>
      <c r="AF20" s="291"/>
    </row>
    <row r="21" spans="1:32" ht="14.5" x14ac:dyDescent="0.35">
      <c r="A21">
        <v>2078</v>
      </c>
      <c r="B21" s="80" t="s">
        <v>329</v>
      </c>
      <c r="C21" s="64" t="s">
        <v>320</v>
      </c>
      <c r="D21">
        <v>2078</v>
      </c>
      <c r="E21" s="417">
        <v>20670</v>
      </c>
      <c r="F21" s="302">
        <v>15990</v>
      </c>
      <c r="G21" s="302">
        <v>12960</v>
      </c>
      <c r="H21" s="94">
        <f t="shared" si="3"/>
        <v>49620</v>
      </c>
      <c r="I21" s="303">
        <f t="shared" si="4"/>
        <v>5.6520000000000001</v>
      </c>
      <c r="J21" s="455">
        <f t="shared" si="5"/>
        <v>280452.24</v>
      </c>
      <c r="L21" s="460">
        <v>0.19187500000000002</v>
      </c>
      <c r="M21" s="463">
        <v>9520.8375000000015</v>
      </c>
      <c r="N21" s="465">
        <f t="shared" si="6"/>
        <v>12377.088750000003</v>
      </c>
      <c r="O21" s="464">
        <f t="shared" si="7"/>
        <v>0.24943750000000006</v>
      </c>
      <c r="Q21" s="508">
        <v>0</v>
      </c>
      <c r="R21" s="506">
        <f t="shared" si="0"/>
        <v>0</v>
      </c>
      <c r="S21" s="507">
        <f t="shared" si="8"/>
        <v>5.0999999999999996</v>
      </c>
      <c r="T21" s="454">
        <f t="shared" si="9"/>
        <v>0</v>
      </c>
      <c r="U21" s="466">
        <f t="shared" si="10"/>
        <v>0</v>
      </c>
      <c r="W21" s="498">
        <f t="shared" si="1"/>
        <v>49620</v>
      </c>
      <c r="X21" s="496">
        <f t="shared" si="11"/>
        <v>0.05</v>
      </c>
      <c r="Y21" s="497">
        <f t="shared" si="12"/>
        <v>2481</v>
      </c>
      <c r="Z21" s="495">
        <f t="shared" si="2"/>
        <v>0.05</v>
      </c>
      <c r="AB21" s="375">
        <f t="shared" si="13"/>
        <v>5.9514374999999999</v>
      </c>
      <c r="AC21" s="376">
        <f t="shared" si="14"/>
        <v>295310.32874999999</v>
      </c>
      <c r="AD21" s="293"/>
      <c r="AE21" s="528"/>
      <c r="AF21" s="291"/>
    </row>
    <row r="22" spans="1:32" ht="14.5" x14ac:dyDescent="0.35">
      <c r="A22">
        <v>2016</v>
      </c>
      <c r="B22" s="80" t="s">
        <v>330</v>
      </c>
      <c r="C22" s="64" t="s">
        <v>320</v>
      </c>
      <c r="D22">
        <v>2016</v>
      </c>
      <c r="E22" s="417">
        <v>14235</v>
      </c>
      <c r="F22" s="302">
        <v>11700</v>
      </c>
      <c r="G22" s="302">
        <v>13140</v>
      </c>
      <c r="H22" s="94">
        <f t="shared" si="3"/>
        <v>39075</v>
      </c>
      <c r="I22" s="303">
        <f t="shared" si="4"/>
        <v>5.6520000000000001</v>
      </c>
      <c r="J22" s="455">
        <f t="shared" si="5"/>
        <v>220851.9</v>
      </c>
      <c r="L22" s="460">
        <v>0.13348148148148148</v>
      </c>
      <c r="M22" s="463">
        <v>5215.7888888888892</v>
      </c>
      <c r="N22" s="465">
        <f t="shared" si="6"/>
        <v>6780.5255555555559</v>
      </c>
      <c r="O22" s="464">
        <f t="shared" si="7"/>
        <v>0.17352592592592594</v>
      </c>
      <c r="Q22" s="508">
        <v>1.6666666666666666E-2</v>
      </c>
      <c r="R22" s="506">
        <f t="shared" si="0"/>
        <v>651.25</v>
      </c>
      <c r="S22" s="507">
        <f t="shared" si="8"/>
        <v>5.0999999999999996</v>
      </c>
      <c r="T22" s="454">
        <f t="shared" si="9"/>
        <v>3321.3749999999995</v>
      </c>
      <c r="U22" s="466">
        <f t="shared" si="10"/>
        <v>8.4999999999999992E-2</v>
      </c>
      <c r="W22" s="498">
        <f t="shared" si="1"/>
        <v>39075</v>
      </c>
      <c r="X22" s="496">
        <f t="shared" si="11"/>
        <v>0.05</v>
      </c>
      <c r="Y22" s="497">
        <f t="shared" si="12"/>
        <v>1953.75</v>
      </c>
      <c r="Z22" s="495">
        <f t="shared" si="2"/>
        <v>0.05</v>
      </c>
      <c r="AB22" s="375">
        <f t="shared" si="13"/>
        <v>5.9605259259259258</v>
      </c>
      <c r="AC22" s="376">
        <f t="shared" si="14"/>
        <v>232907.55055555556</v>
      </c>
      <c r="AD22" s="293"/>
      <c r="AE22" s="528"/>
      <c r="AF22" s="291"/>
    </row>
    <row r="23" spans="1:32" ht="14.5" x14ac:dyDescent="0.35">
      <c r="A23">
        <v>3307</v>
      </c>
      <c r="B23" s="80" t="s">
        <v>331</v>
      </c>
      <c r="C23" s="64" t="s">
        <v>320</v>
      </c>
      <c r="D23">
        <v>3307</v>
      </c>
      <c r="E23" s="417">
        <v>6435</v>
      </c>
      <c r="F23" s="302">
        <v>7410</v>
      </c>
      <c r="G23" s="302">
        <v>6300</v>
      </c>
      <c r="H23" s="94">
        <f t="shared" si="3"/>
        <v>20145</v>
      </c>
      <c r="I23" s="303">
        <f t="shared" si="4"/>
        <v>5.6520000000000001</v>
      </c>
      <c r="J23" s="455">
        <f t="shared" si="5"/>
        <v>113859.54000000001</v>
      </c>
      <c r="L23" s="460">
        <v>0.21074999999999999</v>
      </c>
      <c r="M23" s="463">
        <v>4245.5587500000001</v>
      </c>
      <c r="N23" s="465">
        <f t="shared" si="6"/>
        <v>5519.2263750000002</v>
      </c>
      <c r="O23" s="464">
        <f t="shared" si="7"/>
        <v>0.27397500000000002</v>
      </c>
      <c r="Q23" s="508">
        <v>4.6165301563663441E-2</v>
      </c>
      <c r="R23" s="506">
        <f t="shared" si="0"/>
        <v>930</v>
      </c>
      <c r="S23" s="507">
        <f t="shared" si="8"/>
        <v>5.0999999999999996</v>
      </c>
      <c r="T23" s="454">
        <f t="shared" si="9"/>
        <v>4743</v>
      </c>
      <c r="U23" s="466">
        <f t="shared" si="10"/>
        <v>0.23544303797468355</v>
      </c>
      <c r="W23" s="498">
        <f t="shared" si="1"/>
        <v>20145</v>
      </c>
      <c r="X23" s="496">
        <f t="shared" si="11"/>
        <v>0.05</v>
      </c>
      <c r="Y23" s="497">
        <f t="shared" si="12"/>
        <v>1007.25</v>
      </c>
      <c r="Z23" s="495">
        <f t="shared" si="2"/>
        <v>0.05</v>
      </c>
      <c r="AB23" s="375">
        <f t="shared" si="13"/>
        <v>6.2114180379746839</v>
      </c>
      <c r="AC23" s="376">
        <f t="shared" si="14"/>
        <v>125129.01637500001</v>
      </c>
      <c r="AD23" s="293"/>
      <c r="AE23" s="528"/>
      <c r="AF23" s="291"/>
    </row>
    <row r="24" spans="1:32" ht="14.5" x14ac:dyDescent="0.35">
      <c r="A24">
        <v>2019</v>
      </c>
      <c r="B24" s="80" t="s">
        <v>332</v>
      </c>
      <c r="C24" s="64" t="s">
        <v>320</v>
      </c>
      <c r="D24">
        <v>2019</v>
      </c>
      <c r="E24" s="417">
        <v>13260</v>
      </c>
      <c r="F24" s="302">
        <v>12090</v>
      </c>
      <c r="G24" s="302">
        <v>12060</v>
      </c>
      <c r="H24" s="94">
        <f t="shared" si="3"/>
        <v>37410</v>
      </c>
      <c r="I24" s="303">
        <f t="shared" si="4"/>
        <v>5.6520000000000001</v>
      </c>
      <c r="J24" s="455">
        <f t="shared" si="5"/>
        <v>211441.32</v>
      </c>
      <c r="L24" s="460">
        <v>0.12006451612903223</v>
      </c>
      <c r="M24" s="463">
        <v>4491.6135483870958</v>
      </c>
      <c r="N24" s="465">
        <f t="shared" si="6"/>
        <v>5839.0976129032251</v>
      </c>
      <c r="O24" s="464">
        <f t="shared" si="7"/>
        <v>0.15608387096774193</v>
      </c>
      <c r="Q24" s="508">
        <v>0.19354838709677419</v>
      </c>
      <c r="R24" s="506">
        <f t="shared" si="0"/>
        <v>7240.645161290322</v>
      </c>
      <c r="S24" s="507">
        <f t="shared" si="8"/>
        <v>5.0999999999999996</v>
      </c>
      <c r="T24" s="454">
        <f t="shared" si="9"/>
        <v>36927.290322580637</v>
      </c>
      <c r="U24" s="466">
        <f t="shared" si="10"/>
        <v>0.98709677419354813</v>
      </c>
      <c r="W24" s="498">
        <f t="shared" si="1"/>
        <v>37410</v>
      </c>
      <c r="X24" s="496">
        <f t="shared" si="11"/>
        <v>0.05</v>
      </c>
      <c r="Y24" s="497">
        <f t="shared" si="12"/>
        <v>1870.5</v>
      </c>
      <c r="Z24" s="495">
        <f t="shared" si="2"/>
        <v>0.05</v>
      </c>
      <c r="AB24" s="375">
        <f t="shared" si="13"/>
        <v>6.8451806451612898</v>
      </c>
      <c r="AC24" s="376">
        <f t="shared" si="14"/>
        <v>256078.20793548386</v>
      </c>
      <c r="AD24" s="293"/>
      <c r="AE24" s="528"/>
      <c r="AF24" s="291"/>
    </row>
    <row r="25" spans="1:32" ht="14.5" x14ac:dyDescent="0.35">
      <c r="A25">
        <v>2076</v>
      </c>
      <c r="B25" s="80" t="s">
        <v>333</v>
      </c>
      <c r="C25" s="64" t="s">
        <v>320</v>
      </c>
      <c r="D25">
        <v>2076</v>
      </c>
      <c r="E25" s="417">
        <v>5655</v>
      </c>
      <c r="F25" s="302">
        <v>5655</v>
      </c>
      <c r="G25" s="302">
        <v>5580</v>
      </c>
      <c r="H25" s="94">
        <f t="shared" si="3"/>
        <v>16890</v>
      </c>
      <c r="I25" s="303">
        <f t="shared" si="4"/>
        <v>5.6520000000000001</v>
      </c>
      <c r="J25" s="455">
        <f t="shared" si="5"/>
        <v>95462.28</v>
      </c>
      <c r="L25" s="460">
        <v>0.13100000000000001</v>
      </c>
      <c r="M25" s="463">
        <v>2212.59</v>
      </c>
      <c r="N25" s="465">
        <f t="shared" si="6"/>
        <v>2876.3670000000002</v>
      </c>
      <c r="O25" s="464">
        <f t="shared" si="7"/>
        <v>0.17030000000000001</v>
      </c>
      <c r="Q25" s="508">
        <v>0</v>
      </c>
      <c r="R25" s="506">
        <f t="shared" si="0"/>
        <v>0</v>
      </c>
      <c r="S25" s="507">
        <f t="shared" si="8"/>
        <v>5.0999999999999996</v>
      </c>
      <c r="T25" s="454">
        <f t="shared" si="9"/>
        <v>0</v>
      </c>
      <c r="U25" s="466">
        <f t="shared" si="10"/>
        <v>0</v>
      </c>
      <c r="W25" s="498">
        <f t="shared" si="1"/>
        <v>16890</v>
      </c>
      <c r="X25" s="496">
        <f t="shared" si="11"/>
        <v>0.05</v>
      </c>
      <c r="Y25" s="497">
        <f t="shared" si="12"/>
        <v>844.5</v>
      </c>
      <c r="Z25" s="495">
        <f t="shared" si="2"/>
        <v>0.05</v>
      </c>
      <c r="AB25" s="375">
        <f t="shared" si="13"/>
        <v>5.8723000000000001</v>
      </c>
      <c r="AC25" s="376">
        <f t="shared" si="14"/>
        <v>99183.146999999997</v>
      </c>
      <c r="AD25" s="293"/>
      <c r="AE25" s="528"/>
      <c r="AF25" s="291"/>
    </row>
    <row r="26" spans="1:32" ht="14.5" x14ac:dyDescent="0.35">
      <c r="A26">
        <v>2020</v>
      </c>
      <c r="B26" s="80" t="s">
        <v>334</v>
      </c>
      <c r="C26" s="64" t="s">
        <v>320</v>
      </c>
      <c r="D26">
        <v>2020</v>
      </c>
      <c r="E26" s="417">
        <v>8580</v>
      </c>
      <c r="F26" s="302">
        <v>7800</v>
      </c>
      <c r="G26" s="302">
        <v>7920</v>
      </c>
      <c r="H26" s="94">
        <f t="shared" si="3"/>
        <v>24300</v>
      </c>
      <c r="I26" s="303">
        <f t="shared" si="4"/>
        <v>5.6520000000000001</v>
      </c>
      <c r="J26" s="455">
        <f t="shared" si="5"/>
        <v>137343.6</v>
      </c>
      <c r="L26" s="460">
        <v>6.7176470588235296E-2</v>
      </c>
      <c r="M26" s="463">
        <v>1632.3882352941177</v>
      </c>
      <c r="N26" s="465">
        <f t="shared" si="6"/>
        <v>2122.1047058823533</v>
      </c>
      <c r="O26" s="464">
        <f t="shared" si="7"/>
        <v>8.7329411764705892E-2</v>
      </c>
      <c r="Q26" s="508">
        <v>0</v>
      </c>
      <c r="R26" s="506">
        <f t="shared" si="0"/>
        <v>0</v>
      </c>
      <c r="S26" s="507">
        <f t="shared" si="8"/>
        <v>5.0999999999999996</v>
      </c>
      <c r="T26" s="454">
        <f t="shared" si="9"/>
        <v>0</v>
      </c>
      <c r="U26" s="466">
        <f t="shared" si="10"/>
        <v>0</v>
      </c>
      <c r="W26" s="498">
        <f t="shared" si="1"/>
        <v>24300</v>
      </c>
      <c r="X26" s="496">
        <f t="shared" si="11"/>
        <v>0.05</v>
      </c>
      <c r="Y26" s="497">
        <f t="shared" si="12"/>
        <v>1215</v>
      </c>
      <c r="Z26" s="495">
        <f t="shared" si="2"/>
        <v>0.05</v>
      </c>
      <c r="AB26" s="375">
        <f t="shared" si="13"/>
        <v>5.7893294117647063</v>
      </c>
      <c r="AC26" s="376">
        <f t="shared" si="14"/>
        <v>140680.70470588235</v>
      </c>
      <c r="AD26" s="293"/>
      <c r="AE26" s="528"/>
      <c r="AF26" s="291"/>
    </row>
    <row r="27" spans="1:32" ht="14.5" x14ac:dyDescent="0.35">
      <c r="A27">
        <v>5203</v>
      </c>
      <c r="B27" s="80" t="s">
        <v>335</v>
      </c>
      <c r="C27" s="64" t="s">
        <v>320</v>
      </c>
      <c r="D27">
        <v>5203</v>
      </c>
      <c r="E27" s="417">
        <v>17745</v>
      </c>
      <c r="F27" s="302">
        <v>11895</v>
      </c>
      <c r="G27" s="302">
        <v>16560</v>
      </c>
      <c r="H27" s="94">
        <f t="shared" si="3"/>
        <v>46200</v>
      </c>
      <c r="I27" s="303">
        <f t="shared" si="4"/>
        <v>5.6520000000000001</v>
      </c>
      <c r="J27" s="455">
        <f t="shared" si="5"/>
        <v>261122.4</v>
      </c>
      <c r="L27" s="461">
        <v>0.158</v>
      </c>
      <c r="M27" s="463">
        <v>7299.6</v>
      </c>
      <c r="N27" s="465">
        <f t="shared" si="6"/>
        <v>9489.4800000000014</v>
      </c>
      <c r="O27" s="464">
        <f t="shared" si="7"/>
        <v>0.20540000000000003</v>
      </c>
      <c r="Q27" s="508">
        <v>4.9180327868852458E-2</v>
      </c>
      <c r="R27" s="506">
        <f t="shared" si="0"/>
        <v>2272.1311475409834</v>
      </c>
      <c r="S27" s="507">
        <f t="shared" si="8"/>
        <v>5.0999999999999996</v>
      </c>
      <c r="T27" s="454">
        <f t="shared" si="9"/>
        <v>11587.868852459014</v>
      </c>
      <c r="U27" s="466">
        <f t="shared" si="10"/>
        <v>0.25081967213114748</v>
      </c>
      <c r="W27" s="498">
        <f t="shared" si="1"/>
        <v>46200</v>
      </c>
      <c r="X27" s="496">
        <f t="shared" si="11"/>
        <v>0.05</v>
      </c>
      <c r="Y27" s="497">
        <f t="shared" si="12"/>
        <v>2310</v>
      </c>
      <c r="Z27" s="495">
        <f t="shared" si="2"/>
        <v>0.05</v>
      </c>
      <c r="AB27" s="375">
        <f t="shared" si="13"/>
        <v>6.158219672131148</v>
      </c>
      <c r="AC27" s="376">
        <f t="shared" si="14"/>
        <v>284509.74885245902</v>
      </c>
      <c r="AD27" s="293"/>
      <c r="AE27" s="528"/>
      <c r="AF27" s="291"/>
    </row>
    <row r="28" spans="1:32" ht="14.5" x14ac:dyDescent="0.35">
      <c r="A28">
        <v>2024</v>
      </c>
      <c r="B28" s="80" t="s">
        <v>336</v>
      </c>
      <c r="C28" s="64" t="s">
        <v>320</v>
      </c>
      <c r="D28">
        <v>2024</v>
      </c>
      <c r="E28" s="417">
        <v>6435</v>
      </c>
      <c r="F28" s="302">
        <v>5265</v>
      </c>
      <c r="G28" s="302">
        <v>5580</v>
      </c>
      <c r="H28" s="94">
        <f t="shared" si="3"/>
        <v>17280</v>
      </c>
      <c r="I28" s="303">
        <f t="shared" si="4"/>
        <v>5.6520000000000001</v>
      </c>
      <c r="J28" s="455">
        <f t="shared" si="5"/>
        <v>97666.559999999998</v>
      </c>
      <c r="L28" s="460">
        <v>0.16520000000000004</v>
      </c>
      <c r="M28" s="463">
        <v>2854.6560000000009</v>
      </c>
      <c r="N28" s="465">
        <f t="shared" si="6"/>
        <v>3711.0528000000013</v>
      </c>
      <c r="O28" s="464">
        <f t="shared" si="7"/>
        <v>0.21476000000000006</v>
      </c>
      <c r="Q28" s="508">
        <v>3.7037037037037035E-2</v>
      </c>
      <c r="R28" s="506">
        <f t="shared" si="0"/>
        <v>640</v>
      </c>
      <c r="S28" s="507">
        <f t="shared" si="8"/>
        <v>5.0999999999999996</v>
      </c>
      <c r="T28" s="454">
        <f t="shared" si="9"/>
        <v>3264</v>
      </c>
      <c r="U28" s="466">
        <f t="shared" si="10"/>
        <v>0.18888888888888888</v>
      </c>
      <c r="W28" s="498">
        <f t="shared" si="1"/>
        <v>17280</v>
      </c>
      <c r="X28" s="496">
        <f t="shared" si="11"/>
        <v>0.05</v>
      </c>
      <c r="Y28" s="497">
        <f t="shared" si="12"/>
        <v>864</v>
      </c>
      <c r="Z28" s="495">
        <f t="shared" si="2"/>
        <v>0.05</v>
      </c>
      <c r="AB28" s="375">
        <f t="shared" si="13"/>
        <v>6.1056488888888891</v>
      </c>
      <c r="AC28" s="376">
        <f t="shared" si="14"/>
        <v>105505.6128</v>
      </c>
      <c r="AD28" s="293"/>
      <c r="AE28" s="528"/>
      <c r="AF28" s="291"/>
    </row>
    <row r="29" spans="1:32" ht="14.5" x14ac:dyDescent="0.35">
      <c r="A29">
        <v>2025</v>
      </c>
      <c r="B29" s="80" t="s">
        <v>337</v>
      </c>
      <c r="C29" s="64" t="s">
        <v>320</v>
      </c>
      <c r="D29">
        <v>2025</v>
      </c>
      <c r="E29" s="417">
        <v>8190</v>
      </c>
      <c r="F29" s="302">
        <v>5070</v>
      </c>
      <c r="G29" s="302">
        <v>7020</v>
      </c>
      <c r="H29" s="94">
        <f t="shared" si="3"/>
        <v>20280</v>
      </c>
      <c r="I29" s="303">
        <f t="shared" si="4"/>
        <v>5.6520000000000001</v>
      </c>
      <c r="J29" s="455">
        <f t="shared" si="5"/>
        <v>114622.56</v>
      </c>
      <c r="L29" s="461">
        <v>0.158</v>
      </c>
      <c r="M29" s="463">
        <v>3204.2400000000002</v>
      </c>
      <c r="N29" s="465">
        <f t="shared" si="6"/>
        <v>4165.5120000000006</v>
      </c>
      <c r="O29" s="464">
        <f t="shared" si="7"/>
        <v>0.20540000000000003</v>
      </c>
      <c r="Q29" s="508">
        <v>0</v>
      </c>
      <c r="R29" s="506">
        <f t="shared" si="0"/>
        <v>0</v>
      </c>
      <c r="S29" s="507">
        <f t="shared" si="8"/>
        <v>5.0999999999999996</v>
      </c>
      <c r="T29" s="454">
        <f t="shared" si="9"/>
        <v>0</v>
      </c>
      <c r="U29" s="466">
        <f t="shared" si="10"/>
        <v>0</v>
      </c>
      <c r="W29" s="498">
        <f t="shared" si="1"/>
        <v>20280</v>
      </c>
      <c r="X29" s="496">
        <f t="shared" si="11"/>
        <v>0.05</v>
      </c>
      <c r="Y29" s="497">
        <f t="shared" si="12"/>
        <v>1014</v>
      </c>
      <c r="Z29" s="495">
        <f t="shared" si="2"/>
        <v>0.05</v>
      </c>
      <c r="AB29" s="375">
        <f t="shared" si="13"/>
        <v>5.9074</v>
      </c>
      <c r="AC29" s="376">
        <f t="shared" si="14"/>
        <v>119802.072</v>
      </c>
      <c r="AD29" s="293"/>
      <c r="AE29" s="528"/>
      <c r="AF29" s="291"/>
    </row>
    <row r="30" spans="1:32" ht="14.5" x14ac:dyDescent="0.35">
      <c r="A30">
        <v>2026</v>
      </c>
      <c r="B30" s="80" t="s">
        <v>338</v>
      </c>
      <c r="C30" s="64" t="s">
        <v>320</v>
      </c>
      <c r="D30">
        <v>2026</v>
      </c>
      <c r="E30" s="417">
        <v>5070</v>
      </c>
      <c r="F30" s="302">
        <v>3900</v>
      </c>
      <c r="G30" s="302">
        <v>4500</v>
      </c>
      <c r="H30" s="94">
        <f t="shared" si="3"/>
        <v>13470</v>
      </c>
      <c r="I30" s="303">
        <f t="shared" si="4"/>
        <v>5.6520000000000001</v>
      </c>
      <c r="J30" s="455">
        <f t="shared" si="5"/>
        <v>76132.44</v>
      </c>
      <c r="L30" s="460">
        <v>0.20019999999999999</v>
      </c>
      <c r="M30" s="463">
        <v>2696.694</v>
      </c>
      <c r="N30" s="465">
        <f t="shared" si="6"/>
        <v>3505.7022000000002</v>
      </c>
      <c r="O30" s="464">
        <f t="shared" si="7"/>
        <v>0.26025999999999999</v>
      </c>
      <c r="Q30" s="508">
        <v>0.4</v>
      </c>
      <c r="R30" s="506">
        <f t="shared" si="0"/>
        <v>5388</v>
      </c>
      <c r="S30" s="507">
        <f t="shared" si="8"/>
        <v>5.0999999999999996</v>
      </c>
      <c r="T30" s="454">
        <f t="shared" si="9"/>
        <v>27478.799999999999</v>
      </c>
      <c r="U30" s="466">
        <f t="shared" si="10"/>
        <v>2.04</v>
      </c>
      <c r="W30" s="498">
        <f t="shared" si="1"/>
        <v>13470</v>
      </c>
      <c r="X30" s="496">
        <f t="shared" si="11"/>
        <v>0.05</v>
      </c>
      <c r="Y30" s="497">
        <f t="shared" si="12"/>
        <v>673.5</v>
      </c>
      <c r="Z30" s="495">
        <f t="shared" si="2"/>
        <v>0.05</v>
      </c>
      <c r="AB30" s="375">
        <f t="shared" si="13"/>
        <v>8.0022599999999997</v>
      </c>
      <c r="AC30" s="376">
        <f t="shared" si="14"/>
        <v>107790.4422</v>
      </c>
      <c r="AD30" s="293"/>
      <c r="AE30" s="528"/>
      <c r="AF30" s="291"/>
    </row>
    <row r="31" spans="1:32" ht="14.5" x14ac:dyDescent="0.35">
      <c r="A31">
        <v>5211</v>
      </c>
      <c r="B31" s="80" t="s">
        <v>339</v>
      </c>
      <c r="C31" s="64" t="s">
        <v>320</v>
      </c>
      <c r="D31">
        <v>5211</v>
      </c>
      <c r="E31" s="417">
        <v>14235</v>
      </c>
      <c r="F31" s="302">
        <v>12090</v>
      </c>
      <c r="G31" s="302">
        <v>13140</v>
      </c>
      <c r="H31" s="94">
        <f t="shared" si="3"/>
        <v>39465</v>
      </c>
      <c r="I31" s="303">
        <f t="shared" si="4"/>
        <v>5.6520000000000001</v>
      </c>
      <c r="J31" s="455">
        <f t="shared" si="5"/>
        <v>223056.18</v>
      </c>
      <c r="L31" s="460">
        <v>0.13352941176470587</v>
      </c>
      <c r="M31" s="463">
        <v>5269.7382352941167</v>
      </c>
      <c r="N31" s="465">
        <f t="shared" si="6"/>
        <v>6850.6597058823518</v>
      </c>
      <c r="O31" s="464">
        <f t="shared" si="7"/>
        <v>0.17358823529411763</v>
      </c>
      <c r="Q31" s="508">
        <v>0.14516129032258066</v>
      </c>
      <c r="R31" s="506">
        <f t="shared" si="0"/>
        <v>5728.7903225806458</v>
      </c>
      <c r="S31" s="507">
        <f t="shared" si="8"/>
        <v>5.0999999999999996</v>
      </c>
      <c r="T31" s="454">
        <f t="shared" si="9"/>
        <v>29216.830645161292</v>
      </c>
      <c r="U31" s="466">
        <f t="shared" si="10"/>
        <v>0.74032258064516132</v>
      </c>
      <c r="W31" s="498">
        <f t="shared" si="1"/>
        <v>39465</v>
      </c>
      <c r="X31" s="496">
        <f t="shared" si="11"/>
        <v>0.05</v>
      </c>
      <c r="Y31" s="497">
        <f t="shared" si="12"/>
        <v>1973.25</v>
      </c>
      <c r="Z31" s="495">
        <f t="shared" si="2"/>
        <v>0.05</v>
      </c>
      <c r="AB31" s="375">
        <f t="shared" si="13"/>
        <v>6.6159108159392783</v>
      </c>
      <c r="AC31" s="376">
        <f t="shared" si="14"/>
        <v>261096.92035104363</v>
      </c>
      <c r="AD31" s="293"/>
      <c r="AE31" s="528"/>
      <c r="AF31" s="291"/>
    </row>
    <row r="32" spans="1:32" ht="14.5" x14ac:dyDescent="0.35">
      <c r="A32">
        <v>2029</v>
      </c>
      <c r="B32" s="80" t="s">
        <v>340</v>
      </c>
      <c r="C32" s="64" t="s">
        <v>320</v>
      </c>
      <c r="D32">
        <v>2029</v>
      </c>
      <c r="E32" s="417">
        <v>6240</v>
      </c>
      <c r="F32" s="302">
        <v>5850</v>
      </c>
      <c r="G32" s="302">
        <v>5760</v>
      </c>
      <c r="H32" s="94">
        <f t="shared" si="3"/>
        <v>17850</v>
      </c>
      <c r="I32" s="303">
        <f t="shared" si="4"/>
        <v>5.6520000000000001</v>
      </c>
      <c r="J32" s="455">
        <f t="shared" si="5"/>
        <v>100888.2</v>
      </c>
      <c r="L32" s="460">
        <v>0.17450000000000002</v>
      </c>
      <c r="M32" s="463">
        <v>3114.8250000000003</v>
      </c>
      <c r="N32" s="465">
        <f t="shared" si="6"/>
        <v>4049.2725000000005</v>
      </c>
      <c r="O32" s="464">
        <f t="shared" si="7"/>
        <v>0.22685000000000002</v>
      </c>
      <c r="Q32" s="508">
        <v>0</v>
      </c>
      <c r="R32" s="506">
        <f t="shared" si="0"/>
        <v>0</v>
      </c>
      <c r="S32" s="507">
        <f t="shared" si="8"/>
        <v>5.0999999999999996</v>
      </c>
      <c r="T32" s="454">
        <f t="shared" si="9"/>
        <v>0</v>
      </c>
      <c r="U32" s="466">
        <f t="shared" si="10"/>
        <v>0</v>
      </c>
      <c r="W32" s="498">
        <f t="shared" si="1"/>
        <v>17850</v>
      </c>
      <c r="X32" s="496">
        <f t="shared" si="11"/>
        <v>0.05</v>
      </c>
      <c r="Y32" s="497">
        <f t="shared" si="12"/>
        <v>892.5</v>
      </c>
      <c r="Z32" s="495">
        <f t="shared" si="2"/>
        <v>0.05</v>
      </c>
      <c r="AB32" s="375">
        <f t="shared" si="13"/>
        <v>5.9288500000000006</v>
      </c>
      <c r="AC32" s="376">
        <f t="shared" si="14"/>
        <v>105829.9725</v>
      </c>
      <c r="AD32" s="293"/>
      <c r="AE32" s="528"/>
      <c r="AF32" s="291"/>
    </row>
    <row r="33" spans="1:32" ht="14.5" x14ac:dyDescent="0.35">
      <c r="A33">
        <v>2061</v>
      </c>
      <c r="B33" s="80" t="s">
        <v>341</v>
      </c>
      <c r="C33" s="64" t="s">
        <v>320</v>
      </c>
      <c r="D33">
        <v>2061</v>
      </c>
      <c r="E33" s="417">
        <v>9165</v>
      </c>
      <c r="F33" s="302">
        <v>3315</v>
      </c>
      <c r="G33" s="302">
        <v>5400</v>
      </c>
      <c r="H33" s="94">
        <f t="shared" si="3"/>
        <v>17880</v>
      </c>
      <c r="I33" s="303">
        <f t="shared" si="4"/>
        <v>5.6520000000000001</v>
      </c>
      <c r="J33" s="455">
        <f t="shared" si="5"/>
        <v>101057.76000000001</v>
      </c>
      <c r="L33" s="461">
        <v>0.158</v>
      </c>
      <c r="M33" s="463">
        <v>2825.04</v>
      </c>
      <c r="N33" s="465">
        <f t="shared" si="6"/>
        <v>3672.5520000000001</v>
      </c>
      <c r="O33" s="464">
        <f t="shared" si="7"/>
        <v>0.2054</v>
      </c>
      <c r="Q33" s="508">
        <v>0.11764705882352941</v>
      </c>
      <c r="R33" s="506">
        <f t="shared" si="0"/>
        <v>2103.5294117647059</v>
      </c>
      <c r="S33" s="507">
        <f t="shared" si="8"/>
        <v>5.0999999999999996</v>
      </c>
      <c r="T33" s="454">
        <f t="shared" si="9"/>
        <v>10728</v>
      </c>
      <c r="U33" s="466">
        <f t="shared" si="10"/>
        <v>0.6</v>
      </c>
      <c r="W33" s="498">
        <f t="shared" si="1"/>
        <v>17880</v>
      </c>
      <c r="X33" s="496">
        <f t="shared" si="11"/>
        <v>0.05</v>
      </c>
      <c r="Y33" s="497">
        <f t="shared" si="12"/>
        <v>894</v>
      </c>
      <c r="Z33" s="495">
        <f t="shared" si="2"/>
        <v>0.05</v>
      </c>
      <c r="AB33" s="375">
        <f t="shared" si="13"/>
        <v>6.5074000000000005</v>
      </c>
      <c r="AC33" s="376">
        <f t="shared" si="14"/>
        <v>116352.31200000001</v>
      </c>
      <c r="AD33" s="293"/>
      <c r="AE33" s="528"/>
      <c r="AF33" s="291"/>
    </row>
    <row r="34" spans="1:32" ht="14.5" x14ac:dyDescent="0.35">
      <c r="A34">
        <v>2021</v>
      </c>
      <c r="B34" s="80" t="s">
        <v>342</v>
      </c>
      <c r="C34" s="64" t="s">
        <v>320</v>
      </c>
      <c r="D34">
        <v>2021</v>
      </c>
      <c r="E34" s="417">
        <v>10530</v>
      </c>
      <c r="F34" s="302">
        <v>6045</v>
      </c>
      <c r="G34" s="302">
        <v>4860</v>
      </c>
      <c r="H34" s="94">
        <f t="shared" si="3"/>
        <v>21435</v>
      </c>
      <c r="I34" s="303">
        <f t="shared" si="4"/>
        <v>5.6520000000000001</v>
      </c>
      <c r="J34" s="455">
        <f t="shared" si="5"/>
        <v>121150.62000000001</v>
      </c>
      <c r="L34" s="461">
        <v>0.158</v>
      </c>
      <c r="M34" s="463">
        <v>3386.73</v>
      </c>
      <c r="N34" s="465">
        <f t="shared" si="6"/>
        <v>4402.7489999999998</v>
      </c>
      <c r="O34" s="464">
        <f t="shared" si="7"/>
        <v>0.2054</v>
      </c>
      <c r="Q34" s="508">
        <v>0</v>
      </c>
      <c r="R34" s="506">
        <f t="shared" si="0"/>
        <v>0</v>
      </c>
      <c r="S34" s="507">
        <f t="shared" si="8"/>
        <v>5.0999999999999996</v>
      </c>
      <c r="T34" s="454">
        <f t="shared" si="9"/>
        <v>0</v>
      </c>
      <c r="U34" s="466">
        <f t="shared" si="10"/>
        <v>0</v>
      </c>
      <c r="W34" s="498">
        <f t="shared" si="1"/>
        <v>21435</v>
      </c>
      <c r="X34" s="496">
        <f t="shared" si="11"/>
        <v>0.05</v>
      </c>
      <c r="Y34" s="497">
        <f t="shared" si="12"/>
        <v>1071.75</v>
      </c>
      <c r="Z34" s="495">
        <f t="shared" si="2"/>
        <v>0.05</v>
      </c>
      <c r="AB34" s="375">
        <f t="shared" si="13"/>
        <v>5.9074</v>
      </c>
      <c r="AC34" s="376">
        <f t="shared" si="14"/>
        <v>126625.11900000001</v>
      </c>
      <c r="AD34" s="293"/>
      <c r="AE34" s="528"/>
      <c r="AF34" s="291"/>
    </row>
    <row r="35" spans="1:32" ht="14.5" x14ac:dyDescent="0.35">
      <c r="A35">
        <v>2063</v>
      </c>
      <c r="B35" s="80" t="s">
        <v>343</v>
      </c>
      <c r="C35" s="64" t="s">
        <v>320</v>
      </c>
      <c r="D35">
        <v>2063</v>
      </c>
      <c r="E35" s="417">
        <v>6045</v>
      </c>
      <c r="F35" s="302">
        <v>5070</v>
      </c>
      <c r="G35" s="302">
        <v>5400</v>
      </c>
      <c r="H35" s="94">
        <f t="shared" si="3"/>
        <v>16515</v>
      </c>
      <c r="I35" s="303">
        <f t="shared" si="4"/>
        <v>5.6520000000000001</v>
      </c>
      <c r="J35" s="455">
        <f t="shared" si="5"/>
        <v>93342.78</v>
      </c>
      <c r="L35" s="460">
        <v>0.14142857142857143</v>
      </c>
      <c r="M35" s="463">
        <v>2335.6928571428571</v>
      </c>
      <c r="N35" s="465">
        <f t="shared" si="6"/>
        <v>3036.4007142857145</v>
      </c>
      <c r="O35" s="464">
        <f t="shared" si="7"/>
        <v>0.18385714285714286</v>
      </c>
      <c r="Q35" s="508">
        <v>0</v>
      </c>
      <c r="R35" s="506">
        <f t="shared" si="0"/>
        <v>0</v>
      </c>
      <c r="S35" s="507">
        <f t="shared" si="8"/>
        <v>5.0999999999999996</v>
      </c>
      <c r="T35" s="454">
        <f t="shared" si="9"/>
        <v>0</v>
      </c>
      <c r="U35" s="466">
        <f t="shared" si="10"/>
        <v>0</v>
      </c>
      <c r="W35" s="498">
        <f t="shared" si="1"/>
        <v>16515</v>
      </c>
      <c r="X35" s="496">
        <f t="shared" si="11"/>
        <v>0.05</v>
      </c>
      <c r="Y35" s="497">
        <f t="shared" si="12"/>
        <v>825.75</v>
      </c>
      <c r="Z35" s="495">
        <f t="shared" si="2"/>
        <v>0.05</v>
      </c>
      <c r="AB35" s="375">
        <f t="shared" si="13"/>
        <v>5.8858571428571427</v>
      </c>
      <c r="AC35" s="376">
        <f t="shared" si="14"/>
        <v>97204.930714285714</v>
      </c>
      <c r="AD35" s="293"/>
      <c r="AE35" s="528"/>
      <c r="AF35" s="291"/>
    </row>
    <row r="36" spans="1:32" ht="14.5" x14ac:dyDescent="0.35">
      <c r="A36">
        <v>2081</v>
      </c>
      <c r="B36" s="80" t="s">
        <v>344</v>
      </c>
      <c r="C36" s="64" t="s">
        <v>320</v>
      </c>
      <c r="D36">
        <v>2081</v>
      </c>
      <c r="E36" s="417">
        <v>12870</v>
      </c>
      <c r="F36" s="302">
        <v>13455</v>
      </c>
      <c r="G36" s="302">
        <v>10980</v>
      </c>
      <c r="H36" s="94">
        <f t="shared" si="3"/>
        <v>37305</v>
      </c>
      <c r="I36" s="303">
        <f t="shared" si="4"/>
        <v>5.6520000000000001</v>
      </c>
      <c r="J36" s="455">
        <f t="shared" si="5"/>
        <v>210847.86000000002</v>
      </c>
      <c r="L36" s="460">
        <v>0.15115000000000001</v>
      </c>
      <c r="M36" s="463">
        <v>5638.6507500000007</v>
      </c>
      <c r="N36" s="465">
        <f t="shared" si="6"/>
        <v>7330.2459750000007</v>
      </c>
      <c r="O36" s="464">
        <f t="shared" si="7"/>
        <v>0.19649500000000003</v>
      </c>
      <c r="Q36" s="508">
        <v>1.4492753623188406E-2</v>
      </c>
      <c r="R36" s="506">
        <f t="shared" si="0"/>
        <v>540.6521739130435</v>
      </c>
      <c r="S36" s="507">
        <f t="shared" si="8"/>
        <v>5.0999999999999996</v>
      </c>
      <c r="T36" s="454">
        <f t="shared" si="9"/>
        <v>2757.3260869565215</v>
      </c>
      <c r="U36" s="466">
        <f t="shared" si="10"/>
        <v>7.3913043478260859E-2</v>
      </c>
      <c r="W36" s="498">
        <f t="shared" si="1"/>
        <v>37305</v>
      </c>
      <c r="X36" s="496">
        <f t="shared" si="11"/>
        <v>0.05</v>
      </c>
      <c r="Y36" s="497">
        <f t="shared" si="12"/>
        <v>1865.25</v>
      </c>
      <c r="Z36" s="495">
        <f t="shared" si="2"/>
        <v>0.05</v>
      </c>
      <c r="AB36" s="375">
        <f t="shared" si="13"/>
        <v>5.9724080434782607</v>
      </c>
      <c r="AC36" s="376">
        <f t="shared" si="14"/>
        <v>222800.68206195653</v>
      </c>
      <c r="AD36" s="293"/>
      <c r="AE36" s="528"/>
      <c r="AF36" s="291"/>
    </row>
    <row r="37" spans="1:32" ht="14.5" x14ac:dyDescent="0.35">
      <c r="A37">
        <v>5204</v>
      </c>
      <c r="B37" s="80" t="s">
        <v>345</v>
      </c>
      <c r="C37" s="64" t="s">
        <v>320</v>
      </c>
      <c r="D37">
        <v>5204</v>
      </c>
      <c r="E37" s="417">
        <v>9945</v>
      </c>
      <c r="F37" s="302">
        <v>7605</v>
      </c>
      <c r="G37" s="302">
        <v>9360</v>
      </c>
      <c r="H37" s="94">
        <f t="shared" si="3"/>
        <v>26910</v>
      </c>
      <c r="I37" s="303">
        <f t="shared" si="4"/>
        <v>5.6520000000000001</v>
      </c>
      <c r="J37" s="455">
        <f t="shared" si="5"/>
        <v>152095.32</v>
      </c>
      <c r="L37" s="460">
        <v>0.13177777777777777</v>
      </c>
      <c r="M37" s="463">
        <v>3546.14</v>
      </c>
      <c r="N37" s="465">
        <f t="shared" si="6"/>
        <v>4609.982</v>
      </c>
      <c r="O37" s="464">
        <f t="shared" si="7"/>
        <v>0.17131111111111111</v>
      </c>
      <c r="Q37" s="508">
        <v>2.564102564102564E-2</v>
      </c>
      <c r="R37" s="506">
        <v>690</v>
      </c>
      <c r="S37" s="507">
        <f t="shared" si="8"/>
        <v>5.0999999999999996</v>
      </c>
      <c r="T37" s="454">
        <v>3518.9999999999995</v>
      </c>
      <c r="U37" s="466">
        <v>0.13076923076923075</v>
      </c>
      <c r="W37" s="498">
        <f t="shared" si="1"/>
        <v>26910</v>
      </c>
      <c r="X37" s="496">
        <f t="shared" si="11"/>
        <v>0.05</v>
      </c>
      <c r="Y37" s="497">
        <f t="shared" si="12"/>
        <v>1345.5</v>
      </c>
      <c r="Z37" s="495">
        <f t="shared" si="2"/>
        <v>0.05</v>
      </c>
      <c r="AB37" s="375">
        <f t="shared" si="13"/>
        <v>6.0040803418803419</v>
      </c>
      <c r="AC37" s="376">
        <f t="shared" si="14"/>
        <v>161569.802</v>
      </c>
      <c r="AD37" s="293"/>
      <c r="AE37" s="528"/>
      <c r="AF37" s="291"/>
    </row>
    <row r="38" spans="1:32" ht="14.5" x14ac:dyDescent="0.35">
      <c r="A38">
        <v>2027</v>
      </c>
      <c r="B38" s="80" t="s">
        <v>346</v>
      </c>
      <c r="C38" s="64" t="s">
        <v>320</v>
      </c>
      <c r="D38">
        <v>2027</v>
      </c>
      <c r="E38" s="417">
        <v>7410</v>
      </c>
      <c r="F38" s="302">
        <v>8580</v>
      </c>
      <c r="G38" s="302">
        <v>8280</v>
      </c>
      <c r="H38" s="94">
        <f t="shared" si="3"/>
        <v>24270</v>
      </c>
      <c r="I38" s="303">
        <f t="shared" si="4"/>
        <v>5.6520000000000001</v>
      </c>
      <c r="J38" s="455">
        <f t="shared" si="5"/>
        <v>137174.04</v>
      </c>
      <c r="L38" s="460">
        <v>0.13073913043478261</v>
      </c>
      <c r="M38" s="463">
        <v>3173.0386956521738</v>
      </c>
      <c r="N38" s="465">
        <f t="shared" si="6"/>
        <v>4124.9503043478262</v>
      </c>
      <c r="O38" s="464">
        <f t="shared" si="7"/>
        <v>0.16996086956521739</v>
      </c>
      <c r="Q38" s="508">
        <v>2.2727272727272728E-2</v>
      </c>
      <c r="R38" s="506">
        <f t="shared" si="0"/>
        <v>551.59090909090912</v>
      </c>
      <c r="S38" s="507">
        <f t="shared" si="8"/>
        <v>5.0999999999999996</v>
      </c>
      <c r="T38" s="454">
        <f t="shared" si="9"/>
        <v>2813.1136363636365</v>
      </c>
      <c r="U38" s="466">
        <f t="shared" si="10"/>
        <v>0.11590909090909092</v>
      </c>
      <c r="W38" s="498">
        <f t="shared" si="1"/>
        <v>24270</v>
      </c>
      <c r="X38" s="496">
        <f t="shared" si="11"/>
        <v>0.05</v>
      </c>
      <c r="Y38" s="497">
        <f t="shared" si="12"/>
        <v>1213.5</v>
      </c>
      <c r="Z38" s="495">
        <f t="shared" si="2"/>
        <v>0.05</v>
      </c>
      <c r="AB38" s="375">
        <f t="shared" si="13"/>
        <v>5.9878699604743089</v>
      </c>
      <c r="AC38" s="376">
        <f t="shared" si="14"/>
        <v>145325.60394071147</v>
      </c>
      <c r="AD38" s="293"/>
      <c r="AE38" s="528"/>
      <c r="AF38" s="291"/>
    </row>
    <row r="39" spans="1:32" ht="14.5" x14ac:dyDescent="0.35">
      <c r="A39">
        <v>2032</v>
      </c>
      <c r="B39" s="80" t="s">
        <v>347</v>
      </c>
      <c r="C39" s="64" t="s">
        <v>320</v>
      </c>
      <c r="D39">
        <v>2033</v>
      </c>
      <c r="E39" s="417">
        <v>12675</v>
      </c>
      <c r="F39" s="302">
        <v>10335</v>
      </c>
      <c r="G39" s="302">
        <v>9720</v>
      </c>
      <c r="H39" s="94">
        <f t="shared" si="3"/>
        <v>32730</v>
      </c>
      <c r="I39" s="303">
        <f t="shared" si="4"/>
        <v>5.6520000000000001</v>
      </c>
      <c r="J39" s="455">
        <f t="shared" si="5"/>
        <v>184989.96</v>
      </c>
      <c r="L39" s="460">
        <v>9.5090909090909073E-2</v>
      </c>
      <c r="M39" s="463">
        <v>3112.3254545454538</v>
      </c>
      <c r="N39" s="465">
        <f t="shared" si="6"/>
        <v>4046.0230909090901</v>
      </c>
      <c r="O39" s="464">
        <f t="shared" si="7"/>
        <v>0.12361818181818179</v>
      </c>
      <c r="Q39" s="508">
        <v>5.6603773584905662E-2</v>
      </c>
      <c r="R39" s="506">
        <f t="shared" si="0"/>
        <v>1852.6415094339623</v>
      </c>
      <c r="S39" s="507">
        <f t="shared" si="8"/>
        <v>5.0999999999999996</v>
      </c>
      <c r="T39" s="454">
        <f t="shared" si="9"/>
        <v>9448.471698113206</v>
      </c>
      <c r="U39" s="466">
        <f t="shared" si="10"/>
        <v>0.2886792452830188</v>
      </c>
      <c r="W39" s="498">
        <f t="shared" si="1"/>
        <v>32730</v>
      </c>
      <c r="X39" s="496">
        <f t="shared" si="11"/>
        <v>0.05</v>
      </c>
      <c r="Y39" s="497">
        <f t="shared" si="12"/>
        <v>1636.5</v>
      </c>
      <c r="Z39" s="495">
        <f t="shared" si="2"/>
        <v>0.05</v>
      </c>
      <c r="AB39" s="375">
        <f t="shared" si="13"/>
        <v>6.1142974271012003</v>
      </c>
      <c r="AC39" s="376">
        <f t="shared" si="14"/>
        <v>200120.95478902227</v>
      </c>
      <c r="AD39" s="293"/>
      <c r="AE39" s="528"/>
      <c r="AF39" s="291"/>
    </row>
    <row r="40" spans="1:32" ht="14.5" x14ac:dyDescent="0.35">
      <c r="A40">
        <v>2028</v>
      </c>
      <c r="B40" s="80" t="s">
        <v>348</v>
      </c>
      <c r="C40" s="64" t="s">
        <v>320</v>
      </c>
      <c r="D40">
        <v>2028</v>
      </c>
      <c r="E40" s="417">
        <v>15405</v>
      </c>
      <c r="F40" s="302">
        <v>10725</v>
      </c>
      <c r="G40" s="302">
        <v>10800</v>
      </c>
      <c r="H40" s="94">
        <f t="shared" si="3"/>
        <v>36930</v>
      </c>
      <c r="I40" s="303">
        <f t="shared" si="4"/>
        <v>5.6520000000000001</v>
      </c>
      <c r="J40" s="455">
        <f t="shared" si="5"/>
        <v>208728.36000000002</v>
      </c>
      <c r="L40" s="460">
        <v>0.18300000000000002</v>
      </c>
      <c r="M40" s="463">
        <v>6758.1900000000005</v>
      </c>
      <c r="N40" s="465">
        <f t="shared" si="6"/>
        <v>8785.6470000000008</v>
      </c>
      <c r="O40" s="464">
        <f t="shared" si="7"/>
        <v>0.23790000000000003</v>
      </c>
      <c r="Q40" s="508">
        <v>0</v>
      </c>
      <c r="R40" s="506">
        <f t="shared" si="0"/>
        <v>0</v>
      </c>
      <c r="S40" s="507">
        <f t="shared" si="8"/>
        <v>5.0999999999999996</v>
      </c>
      <c r="T40" s="454">
        <f t="shared" si="9"/>
        <v>0</v>
      </c>
      <c r="U40" s="466">
        <f t="shared" si="10"/>
        <v>0</v>
      </c>
      <c r="W40" s="498">
        <f t="shared" si="1"/>
        <v>36930</v>
      </c>
      <c r="X40" s="496">
        <f t="shared" si="11"/>
        <v>0.05</v>
      </c>
      <c r="Y40" s="497">
        <f t="shared" si="12"/>
        <v>1846.5</v>
      </c>
      <c r="Z40" s="495">
        <f t="shared" si="2"/>
        <v>0.05</v>
      </c>
      <c r="AB40" s="375">
        <f t="shared" si="13"/>
        <v>5.9399000000000006</v>
      </c>
      <c r="AC40" s="376">
        <f t="shared" si="14"/>
        <v>219360.50700000001</v>
      </c>
      <c r="AD40" s="293"/>
      <c r="AE40" s="528"/>
      <c r="AF40" s="291"/>
    </row>
    <row r="41" spans="1:32" ht="14.5" x14ac:dyDescent="0.35">
      <c r="A41">
        <v>2017</v>
      </c>
      <c r="B41" s="80" t="s">
        <v>349</v>
      </c>
      <c r="C41" s="64" t="s">
        <v>320</v>
      </c>
      <c r="D41">
        <v>2017</v>
      </c>
      <c r="E41" s="417">
        <v>13455</v>
      </c>
      <c r="F41" s="302">
        <v>5460</v>
      </c>
      <c r="G41" s="302">
        <v>6120</v>
      </c>
      <c r="H41" s="94">
        <f t="shared" si="3"/>
        <v>25035</v>
      </c>
      <c r="I41" s="303">
        <f t="shared" si="4"/>
        <v>5.6520000000000001</v>
      </c>
      <c r="J41" s="455">
        <f t="shared" si="5"/>
        <v>141497.82</v>
      </c>
      <c r="L41" s="460">
        <v>0.21036363636363636</v>
      </c>
      <c r="M41" s="463">
        <v>5266.4536363636362</v>
      </c>
      <c r="N41" s="465">
        <f t="shared" si="6"/>
        <v>6846.3897272727272</v>
      </c>
      <c r="O41" s="464">
        <f t="shared" si="7"/>
        <v>0.27347272727272726</v>
      </c>
      <c r="Q41" s="508">
        <v>0.17857142857142858</v>
      </c>
      <c r="R41" s="506">
        <f t="shared" si="0"/>
        <v>4470.5357142857147</v>
      </c>
      <c r="S41" s="507">
        <f t="shared" si="8"/>
        <v>5.0999999999999996</v>
      </c>
      <c r="T41" s="454">
        <f t="shared" si="9"/>
        <v>22799.732142857145</v>
      </c>
      <c r="U41" s="466">
        <f t="shared" si="10"/>
        <v>0.91071428571428581</v>
      </c>
      <c r="W41" s="498">
        <f t="shared" si="1"/>
        <v>25035</v>
      </c>
      <c r="X41" s="496">
        <f t="shared" si="11"/>
        <v>0.05</v>
      </c>
      <c r="Y41" s="497">
        <f t="shared" si="12"/>
        <v>1251.75</v>
      </c>
      <c r="Z41" s="495">
        <f t="shared" si="2"/>
        <v>0.05</v>
      </c>
      <c r="AB41" s="375">
        <f t="shared" si="13"/>
        <v>6.8861870129870129</v>
      </c>
      <c r="AC41" s="376">
        <f t="shared" si="14"/>
        <v>172395.69187012987</v>
      </c>
      <c r="AD41" s="293"/>
      <c r="AE41" s="528"/>
      <c r="AF41" s="291"/>
    </row>
    <row r="42" spans="1:32" ht="14.5" x14ac:dyDescent="0.35">
      <c r="A42">
        <v>2037</v>
      </c>
      <c r="B42" s="80" t="s">
        <v>350</v>
      </c>
      <c r="C42" s="64" t="s">
        <v>320</v>
      </c>
      <c r="D42">
        <v>2037</v>
      </c>
      <c r="E42" s="417">
        <v>19890</v>
      </c>
      <c r="F42" s="302">
        <v>16380</v>
      </c>
      <c r="G42" s="302">
        <v>18180</v>
      </c>
      <c r="H42" s="94">
        <f t="shared" si="3"/>
        <v>54450</v>
      </c>
      <c r="I42" s="303">
        <f t="shared" si="4"/>
        <v>5.6520000000000001</v>
      </c>
      <c r="J42" s="455">
        <f t="shared" si="5"/>
        <v>307751.40000000002</v>
      </c>
      <c r="L42" s="460">
        <v>0.20549999999999999</v>
      </c>
      <c r="M42" s="463">
        <v>11189.474999999999</v>
      </c>
      <c r="N42" s="465">
        <f t="shared" si="6"/>
        <v>14546.317499999999</v>
      </c>
      <c r="O42" s="464">
        <f t="shared" si="7"/>
        <v>0.26715</v>
      </c>
      <c r="Q42" s="508">
        <v>8.3333333333333329E-2</v>
      </c>
      <c r="R42" s="506">
        <f t="shared" si="0"/>
        <v>4537.5</v>
      </c>
      <c r="S42" s="507">
        <f t="shared" si="8"/>
        <v>5.0999999999999996</v>
      </c>
      <c r="T42" s="454">
        <f t="shared" si="9"/>
        <v>23141.25</v>
      </c>
      <c r="U42" s="466">
        <f t="shared" si="10"/>
        <v>0.42499999999999999</v>
      </c>
      <c r="W42" s="498">
        <f t="shared" si="1"/>
        <v>54450</v>
      </c>
      <c r="X42" s="496">
        <f t="shared" si="11"/>
        <v>0.05</v>
      </c>
      <c r="Y42" s="497">
        <f t="shared" si="12"/>
        <v>2722.5</v>
      </c>
      <c r="Z42" s="495">
        <f t="shared" si="2"/>
        <v>0.05</v>
      </c>
      <c r="AB42" s="375">
        <f t="shared" si="13"/>
        <v>6.3941500000000007</v>
      </c>
      <c r="AC42" s="376">
        <f t="shared" si="14"/>
        <v>348161.46750000003</v>
      </c>
      <c r="AD42" s="293"/>
      <c r="AE42" s="528"/>
      <c r="AF42" s="291"/>
    </row>
    <row r="43" spans="1:32" ht="14.5" x14ac:dyDescent="0.35">
      <c r="A43">
        <v>2039</v>
      </c>
      <c r="B43" s="80" t="s">
        <v>351</v>
      </c>
      <c r="C43" s="64" t="s">
        <v>320</v>
      </c>
      <c r="D43">
        <v>2039</v>
      </c>
      <c r="E43" s="417">
        <v>7995</v>
      </c>
      <c r="F43" s="302">
        <v>8385</v>
      </c>
      <c r="G43" s="302">
        <v>7380</v>
      </c>
      <c r="H43" s="94">
        <f t="shared" si="3"/>
        <v>23760</v>
      </c>
      <c r="I43" s="303">
        <f t="shared" si="4"/>
        <v>5.6520000000000001</v>
      </c>
      <c r="J43" s="455">
        <f t="shared" si="5"/>
        <v>134291.51999999999</v>
      </c>
      <c r="L43" s="460">
        <v>0.10914285714285715</v>
      </c>
      <c r="M43" s="463">
        <v>2593.2342857142858</v>
      </c>
      <c r="N43" s="465">
        <f t="shared" si="6"/>
        <v>3371.2045714285714</v>
      </c>
      <c r="O43" s="464">
        <f t="shared" si="7"/>
        <v>0.14188571428571428</v>
      </c>
      <c r="Q43" s="508">
        <v>4.6511627906976744E-2</v>
      </c>
      <c r="R43" s="506">
        <f t="shared" si="0"/>
        <v>1105.1162790697674</v>
      </c>
      <c r="S43" s="507">
        <f t="shared" si="8"/>
        <v>5.0999999999999996</v>
      </c>
      <c r="T43" s="454">
        <f t="shared" si="9"/>
        <v>5636.093023255813</v>
      </c>
      <c r="U43" s="466">
        <f t="shared" si="10"/>
        <v>0.23720930232558135</v>
      </c>
      <c r="W43" s="498">
        <f t="shared" si="1"/>
        <v>23760</v>
      </c>
      <c r="X43" s="496">
        <f t="shared" si="11"/>
        <v>0.05</v>
      </c>
      <c r="Y43" s="497">
        <f t="shared" si="12"/>
        <v>1188</v>
      </c>
      <c r="Z43" s="495">
        <f t="shared" si="2"/>
        <v>0.05</v>
      </c>
      <c r="AB43" s="375">
        <f t="shared" si="13"/>
        <v>6.0810950166112949</v>
      </c>
      <c r="AC43" s="376">
        <f t="shared" si="14"/>
        <v>144486.81759468437</v>
      </c>
      <c r="AD43" s="293"/>
      <c r="AE43" s="528"/>
      <c r="AF43" s="291"/>
    </row>
    <row r="44" spans="1:32" ht="14.5" x14ac:dyDescent="0.35">
      <c r="A44">
        <v>5200</v>
      </c>
      <c r="B44" s="80" t="s">
        <v>352</v>
      </c>
      <c r="C44" s="64" t="s">
        <v>320</v>
      </c>
      <c r="D44">
        <v>5200</v>
      </c>
      <c r="E44" s="417">
        <v>10725</v>
      </c>
      <c r="F44" s="302">
        <v>11310</v>
      </c>
      <c r="G44" s="302">
        <v>4680</v>
      </c>
      <c r="H44" s="94">
        <f t="shared" si="3"/>
        <v>26715</v>
      </c>
      <c r="I44" s="303">
        <f t="shared" si="4"/>
        <v>5.6520000000000001</v>
      </c>
      <c r="J44" s="455">
        <f t="shared" si="5"/>
        <v>150993.18</v>
      </c>
      <c r="L44" s="460">
        <v>9.3714285714285708E-2</v>
      </c>
      <c r="M44" s="463">
        <v>2503.5771428571429</v>
      </c>
      <c r="N44" s="465">
        <f t="shared" si="6"/>
        <v>3254.6502857142859</v>
      </c>
      <c r="O44" s="464">
        <f t="shared" si="7"/>
        <v>0.12182857142857144</v>
      </c>
      <c r="Q44" s="508">
        <v>0</v>
      </c>
      <c r="R44" s="506">
        <f t="shared" si="0"/>
        <v>0</v>
      </c>
      <c r="S44" s="507">
        <f t="shared" si="8"/>
        <v>5.0999999999999996</v>
      </c>
      <c r="T44" s="454">
        <f t="shared" si="9"/>
        <v>0</v>
      </c>
      <c r="U44" s="466">
        <f t="shared" si="10"/>
        <v>0</v>
      </c>
      <c r="W44" s="498">
        <f t="shared" si="1"/>
        <v>26715</v>
      </c>
      <c r="X44" s="496">
        <f t="shared" si="11"/>
        <v>0.05</v>
      </c>
      <c r="Y44" s="497">
        <f t="shared" si="12"/>
        <v>1335.75</v>
      </c>
      <c r="Z44" s="495">
        <f t="shared" si="2"/>
        <v>0.05</v>
      </c>
      <c r="AB44" s="375">
        <f t="shared" si="13"/>
        <v>5.8238285714285709</v>
      </c>
      <c r="AC44" s="376">
        <f t="shared" si="14"/>
        <v>155583.58028571427</v>
      </c>
      <c r="AD44" s="293"/>
      <c r="AE44" s="528"/>
      <c r="AF44" s="291"/>
    </row>
    <row r="45" spans="1:32" ht="14.5" x14ac:dyDescent="0.35">
      <c r="A45">
        <v>2040</v>
      </c>
      <c r="B45" s="80" t="s">
        <v>141</v>
      </c>
      <c r="C45" s="64" t="s">
        <v>320</v>
      </c>
      <c r="D45">
        <v>2040</v>
      </c>
      <c r="E45" s="417">
        <v>8190</v>
      </c>
      <c r="F45" s="302">
        <v>8580</v>
      </c>
      <c r="G45" s="302">
        <v>8640</v>
      </c>
      <c r="H45" s="94">
        <f t="shared" si="3"/>
        <v>25410</v>
      </c>
      <c r="I45" s="303">
        <f t="shared" si="4"/>
        <v>5.6520000000000001</v>
      </c>
      <c r="J45" s="455">
        <f t="shared" si="5"/>
        <v>143617.32</v>
      </c>
      <c r="L45" s="460">
        <v>0.18319999999999997</v>
      </c>
      <c r="M45" s="463">
        <v>4655.1119999999992</v>
      </c>
      <c r="N45" s="465">
        <f t="shared" si="6"/>
        <v>6051.6455999999989</v>
      </c>
      <c r="O45" s="464">
        <f t="shared" si="7"/>
        <v>0.23815999999999996</v>
      </c>
      <c r="Q45" s="508">
        <v>0.15909090909090909</v>
      </c>
      <c r="R45" s="506">
        <f t="shared" si="0"/>
        <v>4042.5</v>
      </c>
      <c r="S45" s="507">
        <f t="shared" si="8"/>
        <v>5.0999999999999996</v>
      </c>
      <c r="T45" s="454">
        <f t="shared" si="9"/>
        <v>20616.75</v>
      </c>
      <c r="U45" s="466">
        <f t="shared" si="10"/>
        <v>0.8113636363636364</v>
      </c>
      <c r="W45" s="498">
        <f t="shared" si="1"/>
        <v>25410</v>
      </c>
      <c r="X45" s="496">
        <f t="shared" si="11"/>
        <v>0.05</v>
      </c>
      <c r="Y45" s="497">
        <f t="shared" si="12"/>
        <v>1270.5</v>
      </c>
      <c r="Z45" s="495">
        <f t="shared" si="2"/>
        <v>0.05</v>
      </c>
      <c r="AB45" s="375">
        <f t="shared" si="13"/>
        <v>6.7515236363636362</v>
      </c>
      <c r="AC45" s="376">
        <f t="shared" si="14"/>
        <v>171556.2156</v>
      </c>
      <c r="AD45" s="293"/>
      <c r="AE45" s="528"/>
      <c r="AF45" s="291"/>
    </row>
    <row r="46" spans="1:32" ht="14.5" x14ac:dyDescent="0.35">
      <c r="A46">
        <v>2064</v>
      </c>
      <c r="B46" s="80" t="s">
        <v>353</v>
      </c>
      <c r="C46" s="64" t="s">
        <v>320</v>
      </c>
      <c r="D46">
        <v>2064</v>
      </c>
      <c r="E46" s="417">
        <v>8385</v>
      </c>
      <c r="F46" s="302">
        <v>9360</v>
      </c>
      <c r="G46" s="302">
        <v>7560</v>
      </c>
      <c r="H46" s="94">
        <f t="shared" si="3"/>
        <v>25305</v>
      </c>
      <c r="I46" s="303">
        <f t="shared" si="4"/>
        <v>5.6520000000000001</v>
      </c>
      <c r="J46" s="455">
        <f t="shared" si="5"/>
        <v>143023.86000000002</v>
      </c>
      <c r="L46" s="461">
        <v>0.158</v>
      </c>
      <c r="M46" s="463">
        <v>3998.19</v>
      </c>
      <c r="N46" s="465">
        <f t="shared" si="6"/>
        <v>5197.6469999999999</v>
      </c>
      <c r="O46" s="464">
        <f t="shared" si="7"/>
        <v>0.2054</v>
      </c>
      <c r="Q46" s="508">
        <v>0.1875</v>
      </c>
      <c r="R46" s="506">
        <f t="shared" si="0"/>
        <v>4744.6875</v>
      </c>
      <c r="S46" s="507">
        <f t="shared" si="8"/>
        <v>5.0999999999999996</v>
      </c>
      <c r="T46" s="454">
        <f t="shared" si="9"/>
        <v>24197.90625</v>
      </c>
      <c r="U46" s="466">
        <f t="shared" si="10"/>
        <v>0.95625000000000004</v>
      </c>
      <c r="W46" s="498">
        <f t="shared" si="1"/>
        <v>25305</v>
      </c>
      <c r="X46" s="496">
        <f t="shared" si="11"/>
        <v>0.05</v>
      </c>
      <c r="Y46" s="497">
        <f t="shared" si="12"/>
        <v>1265.25</v>
      </c>
      <c r="Z46" s="495">
        <f t="shared" si="2"/>
        <v>0.05</v>
      </c>
      <c r="AB46" s="375">
        <f t="shared" si="13"/>
        <v>6.8636500000000007</v>
      </c>
      <c r="AC46" s="376">
        <f t="shared" si="14"/>
        <v>173684.66325000001</v>
      </c>
      <c r="AD46" s="293"/>
      <c r="AE46" s="528"/>
      <c r="AF46" s="291"/>
    </row>
    <row r="47" spans="1:32" ht="14.5" x14ac:dyDescent="0.35">
      <c r="A47">
        <v>2045</v>
      </c>
      <c r="B47" s="80" t="s">
        <v>146</v>
      </c>
      <c r="C47" s="64" t="s">
        <v>320</v>
      </c>
      <c r="D47">
        <v>2045</v>
      </c>
      <c r="E47" s="417">
        <v>18720</v>
      </c>
      <c r="F47" s="302">
        <v>3510</v>
      </c>
      <c r="G47" s="302">
        <v>6480</v>
      </c>
      <c r="H47" s="94">
        <f t="shared" si="3"/>
        <v>28710</v>
      </c>
      <c r="I47" s="303">
        <f t="shared" si="4"/>
        <v>5.6520000000000001</v>
      </c>
      <c r="J47" s="455">
        <f t="shared" si="5"/>
        <v>162268.92000000001</v>
      </c>
      <c r="L47" s="461">
        <v>0.158</v>
      </c>
      <c r="M47" s="463">
        <v>4536.18</v>
      </c>
      <c r="N47" s="465">
        <f t="shared" si="6"/>
        <v>5897.0340000000006</v>
      </c>
      <c r="O47" s="464">
        <f t="shared" si="7"/>
        <v>0.20540000000000003</v>
      </c>
      <c r="Q47" s="508">
        <v>0</v>
      </c>
      <c r="R47" s="506">
        <f t="shared" si="0"/>
        <v>0</v>
      </c>
      <c r="S47" s="507">
        <f t="shared" si="8"/>
        <v>5.0999999999999996</v>
      </c>
      <c r="T47" s="454">
        <f t="shared" si="9"/>
        <v>0</v>
      </c>
      <c r="U47" s="466">
        <f t="shared" si="10"/>
        <v>0</v>
      </c>
      <c r="W47" s="498">
        <f t="shared" si="1"/>
        <v>28710</v>
      </c>
      <c r="X47" s="496">
        <f t="shared" si="11"/>
        <v>0.05</v>
      </c>
      <c r="Y47" s="497">
        <f t="shared" si="12"/>
        <v>1435.5</v>
      </c>
      <c r="Z47" s="495">
        <f t="shared" si="2"/>
        <v>0.05</v>
      </c>
      <c r="AB47" s="375">
        <f t="shared" si="13"/>
        <v>5.9074000000000009</v>
      </c>
      <c r="AC47" s="376">
        <f t="shared" si="14"/>
        <v>169601.45400000003</v>
      </c>
      <c r="AD47" s="293"/>
      <c r="AE47" s="528"/>
      <c r="AF47" s="291"/>
    </row>
    <row r="48" spans="1:32" ht="14.5" x14ac:dyDescent="0.35">
      <c r="A48">
        <v>2080</v>
      </c>
      <c r="B48" s="80" t="s">
        <v>354</v>
      </c>
      <c r="C48" s="64" t="s">
        <v>320</v>
      </c>
      <c r="D48">
        <v>2080</v>
      </c>
      <c r="E48" s="417">
        <v>5460</v>
      </c>
      <c r="F48" s="302">
        <v>3900</v>
      </c>
      <c r="G48" s="302">
        <v>1410</v>
      </c>
      <c r="H48" s="94">
        <f t="shared" si="3"/>
        <v>10770</v>
      </c>
      <c r="I48" s="303">
        <f t="shared" si="4"/>
        <v>5.6520000000000001</v>
      </c>
      <c r="J48" s="455">
        <f t="shared" si="5"/>
        <v>60872.04</v>
      </c>
      <c r="L48" s="460">
        <v>0.13979999999999998</v>
      </c>
      <c r="M48" s="463">
        <v>1505.6459999999997</v>
      </c>
      <c r="N48" s="465">
        <f t="shared" si="6"/>
        <v>1957.3397999999997</v>
      </c>
      <c r="O48" s="464">
        <f t="shared" si="7"/>
        <v>0.18173999999999998</v>
      </c>
      <c r="Q48" s="508">
        <v>0.1</v>
      </c>
      <c r="R48" s="506">
        <f t="shared" si="0"/>
        <v>1077</v>
      </c>
      <c r="S48" s="507">
        <f t="shared" si="8"/>
        <v>5.0999999999999996</v>
      </c>
      <c r="T48" s="454">
        <f t="shared" si="9"/>
        <v>5492.7</v>
      </c>
      <c r="U48" s="466">
        <f t="shared" si="10"/>
        <v>0.51</v>
      </c>
      <c r="W48" s="498">
        <f t="shared" si="1"/>
        <v>10770</v>
      </c>
      <c r="X48" s="496">
        <f t="shared" si="11"/>
        <v>0.05</v>
      </c>
      <c r="Y48" s="497">
        <f t="shared" si="12"/>
        <v>538.5</v>
      </c>
      <c r="Z48" s="495">
        <f t="shared" si="2"/>
        <v>0.05</v>
      </c>
      <c r="AB48" s="375">
        <f t="shared" si="13"/>
        <v>6.3937400000000002</v>
      </c>
      <c r="AC48" s="376">
        <f t="shared" si="14"/>
        <v>68860.579800000007</v>
      </c>
      <c r="AD48" s="293"/>
      <c r="AE48" s="528"/>
      <c r="AF48" s="291"/>
    </row>
    <row r="49" spans="1:32" ht="14.5" x14ac:dyDescent="0.35">
      <c r="A49">
        <v>2048</v>
      </c>
      <c r="B49" s="80" t="s">
        <v>355</v>
      </c>
      <c r="C49" s="64" t="s">
        <v>320</v>
      </c>
      <c r="D49">
        <v>2048</v>
      </c>
      <c r="E49" s="417">
        <v>9945</v>
      </c>
      <c r="F49" s="302">
        <v>6240</v>
      </c>
      <c r="G49" s="302">
        <v>8100</v>
      </c>
      <c r="H49" s="94">
        <f t="shared" si="3"/>
        <v>24285</v>
      </c>
      <c r="I49" s="303">
        <f t="shared" si="4"/>
        <v>5.6520000000000001</v>
      </c>
      <c r="J49" s="455">
        <f t="shared" si="5"/>
        <v>137258.82</v>
      </c>
      <c r="L49" s="460">
        <v>0.12783333333333333</v>
      </c>
      <c r="M49" s="463">
        <v>3104.4324999999999</v>
      </c>
      <c r="N49" s="465">
        <f t="shared" si="6"/>
        <v>4035.7622500000002</v>
      </c>
      <c r="O49" s="464">
        <f t="shared" si="7"/>
        <v>0.16618333333333335</v>
      </c>
      <c r="Q49" s="508">
        <v>0</v>
      </c>
      <c r="R49" s="506">
        <f t="shared" si="0"/>
        <v>0</v>
      </c>
      <c r="S49" s="507">
        <f t="shared" si="8"/>
        <v>5.0999999999999996</v>
      </c>
      <c r="T49" s="454">
        <f t="shared" si="9"/>
        <v>0</v>
      </c>
      <c r="U49" s="466">
        <f t="shared" si="10"/>
        <v>0</v>
      </c>
      <c r="W49" s="498">
        <f t="shared" si="1"/>
        <v>24285</v>
      </c>
      <c r="X49" s="496">
        <f t="shared" si="11"/>
        <v>0.05</v>
      </c>
      <c r="Y49" s="497">
        <f t="shared" si="12"/>
        <v>1214.25</v>
      </c>
      <c r="Z49" s="495">
        <f t="shared" si="2"/>
        <v>0.05</v>
      </c>
      <c r="AB49" s="375">
        <f t="shared" si="13"/>
        <v>5.8681833333333335</v>
      </c>
      <c r="AC49" s="376">
        <f t="shared" si="14"/>
        <v>142508.83225000001</v>
      </c>
      <c r="AD49" s="293"/>
      <c r="AE49" s="528"/>
      <c r="AF49" s="291"/>
    </row>
    <row r="50" spans="1:32" ht="14.5" x14ac:dyDescent="0.35">
      <c r="A50">
        <v>3405</v>
      </c>
      <c r="B50" s="80" t="s">
        <v>356</v>
      </c>
      <c r="C50" s="64" t="s">
        <v>320</v>
      </c>
      <c r="D50">
        <v>3405</v>
      </c>
      <c r="E50" s="417">
        <v>9945</v>
      </c>
      <c r="F50" s="302">
        <v>9945</v>
      </c>
      <c r="G50" s="302">
        <v>9360</v>
      </c>
      <c r="H50" s="94">
        <f t="shared" si="3"/>
        <v>29250</v>
      </c>
      <c r="I50" s="303">
        <f t="shared" si="4"/>
        <v>5.6520000000000001</v>
      </c>
      <c r="J50" s="455">
        <f t="shared" si="5"/>
        <v>165321</v>
      </c>
      <c r="L50" s="460">
        <v>9.9374999999999991E-2</v>
      </c>
      <c r="M50" s="463">
        <v>2906.7187499999995</v>
      </c>
      <c r="N50" s="465">
        <f t="shared" si="6"/>
        <v>3778.7343749999995</v>
      </c>
      <c r="O50" s="464">
        <f t="shared" si="7"/>
        <v>0.12918749999999998</v>
      </c>
      <c r="Q50" s="508">
        <v>5.8823529411764705E-2</v>
      </c>
      <c r="R50" s="506">
        <f t="shared" si="0"/>
        <v>1720.5882352941176</v>
      </c>
      <c r="S50" s="507">
        <f t="shared" si="8"/>
        <v>5.0999999999999996</v>
      </c>
      <c r="T50" s="454">
        <f t="shared" si="9"/>
        <v>8774.9999999999982</v>
      </c>
      <c r="U50" s="466">
        <f t="shared" si="10"/>
        <v>0.29999999999999993</v>
      </c>
      <c r="W50" s="498">
        <f t="shared" si="1"/>
        <v>29250</v>
      </c>
      <c r="X50" s="496">
        <f t="shared" si="11"/>
        <v>0.05</v>
      </c>
      <c r="Y50" s="497">
        <f t="shared" si="12"/>
        <v>1462.5</v>
      </c>
      <c r="Z50" s="495">
        <f t="shared" si="2"/>
        <v>0.05</v>
      </c>
      <c r="AB50" s="375">
        <f t="shared" si="13"/>
        <v>6.1311875000000002</v>
      </c>
      <c r="AC50" s="376">
        <f t="shared" si="14"/>
        <v>179337.234375</v>
      </c>
      <c r="AD50" s="293"/>
      <c r="AE50" s="528"/>
      <c r="AF50" s="291"/>
    </row>
    <row r="51" spans="1:32" ht="14.5" x14ac:dyDescent="0.35">
      <c r="A51">
        <v>5208</v>
      </c>
      <c r="B51" s="80" t="s">
        <v>357</v>
      </c>
      <c r="C51" s="64" t="s">
        <v>320</v>
      </c>
      <c r="D51">
        <v>5208</v>
      </c>
      <c r="E51" s="417">
        <v>4485</v>
      </c>
      <c r="F51" s="302">
        <v>2340</v>
      </c>
      <c r="G51" s="302">
        <v>3960</v>
      </c>
      <c r="H51" s="94">
        <f t="shared" si="3"/>
        <v>10785</v>
      </c>
      <c r="I51" s="303">
        <f t="shared" si="4"/>
        <v>5.6520000000000001</v>
      </c>
      <c r="J51" s="455">
        <f t="shared" si="5"/>
        <v>60956.82</v>
      </c>
      <c r="L51" s="460">
        <v>0.14200000000000002</v>
      </c>
      <c r="M51" s="463">
        <v>1531.4700000000003</v>
      </c>
      <c r="N51" s="465">
        <f t="shared" si="6"/>
        <v>1990.9110000000003</v>
      </c>
      <c r="O51" s="464">
        <f t="shared" si="7"/>
        <v>0.18460000000000001</v>
      </c>
      <c r="Q51" s="508">
        <v>0</v>
      </c>
      <c r="R51" s="506">
        <f t="shared" si="0"/>
        <v>0</v>
      </c>
      <c r="S51" s="507">
        <f t="shared" si="8"/>
        <v>5.0999999999999996</v>
      </c>
      <c r="T51" s="454">
        <f t="shared" si="9"/>
        <v>0</v>
      </c>
      <c r="U51" s="466">
        <f t="shared" si="10"/>
        <v>0</v>
      </c>
      <c r="W51" s="498">
        <f t="shared" si="1"/>
        <v>10785</v>
      </c>
      <c r="X51" s="496">
        <f t="shared" si="11"/>
        <v>0.05</v>
      </c>
      <c r="Y51" s="497">
        <f t="shared" si="12"/>
        <v>539.25</v>
      </c>
      <c r="Z51" s="495">
        <f t="shared" si="2"/>
        <v>0.05</v>
      </c>
      <c r="AB51" s="375">
        <f t="shared" si="13"/>
        <v>5.8865999999999996</v>
      </c>
      <c r="AC51" s="376">
        <f t="shared" si="14"/>
        <v>63486.981</v>
      </c>
      <c r="AD51" s="293"/>
      <c r="AE51" s="528"/>
      <c r="AF51" s="291"/>
    </row>
    <row r="52" spans="1:32" ht="14.5" x14ac:dyDescent="0.35">
      <c r="A52">
        <v>3402</v>
      </c>
      <c r="B52" s="80" t="s">
        <v>358</v>
      </c>
      <c r="C52" s="64" t="s">
        <v>320</v>
      </c>
      <c r="D52">
        <v>3402</v>
      </c>
      <c r="E52" s="417">
        <v>6630</v>
      </c>
      <c r="F52" s="302">
        <v>6825</v>
      </c>
      <c r="G52" s="302">
        <v>5580</v>
      </c>
      <c r="H52" s="94">
        <f t="shared" si="3"/>
        <v>19035</v>
      </c>
      <c r="I52" s="303">
        <f t="shared" si="4"/>
        <v>5.6520000000000001</v>
      </c>
      <c r="J52" s="455">
        <f t="shared" si="5"/>
        <v>107585.82</v>
      </c>
      <c r="L52" s="460">
        <v>0.14364285714285716</v>
      </c>
      <c r="M52" s="463">
        <v>2734.2417857142859</v>
      </c>
      <c r="N52" s="465">
        <f t="shared" si="6"/>
        <v>3554.5143214285717</v>
      </c>
      <c r="O52" s="464">
        <f t="shared" si="7"/>
        <v>0.18673571428571431</v>
      </c>
      <c r="Q52" s="508">
        <v>8.5714285714285715E-2</v>
      </c>
      <c r="R52" s="506">
        <f t="shared" si="0"/>
        <v>1631.5714285714287</v>
      </c>
      <c r="S52" s="507">
        <f t="shared" si="8"/>
        <v>5.0999999999999996</v>
      </c>
      <c r="T52" s="454">
        <f t="shared" si="9"/>
        <v>8321.0142857142855</v>
      </c>
      <c r="U52" s="466">
        <f t="shared" si="10"/>
        <v>0.43714285714285711</v>
      </c>
      <c r="W52" s="498">
        <f t="shared" si="1"/>
        <v>19035</v>
      </c>
      <c r="X52" s="496">
        <f t="shared" si="11"/>
        <v>0.05</v>
      </c>
      <c r="Y52" s="497">
        <f t="shared" si="12"/>
        <v>951.75</v>
      </c>
      <c r="Z52" s="495">
        <f t="shared" si="2"/>
        <v>0.05</v>
      </c>
      <c r="AB52" s="375">
        <f t="shared" si="13"/>
        <v>6.3258785714285715</v>
      </c>
      <c r="AC52" s="376">
        <f t="shared" si="14"/>
        <v>120413.09860714286</v>
      </c>
      <c r="AD52" s="293"/>
      <c r="AE52" s="528"/>
      <c r="AF52" s="291"/>
    </row>
    <row r="53" spans="1:32" ht="14.5" x14ac:dyDescent="0.35">
      <c r="A53">
        <v>3403</v>
      </c>
      <c r="B53" s="80" t="s">
        <v>359</v>
      </c>
      <c r="C53" s="64" t="s">
        <v>320</v>
      </c>
      <c r="D53">
        <v>3403</v>
      </c>
      <c r="E53" s="417">
        <v>4875</v>
      </c>
      <c r="F53" s="302">
        <v>3510</v>
      </c>
      <c r="G53" s="302">
        <v>3600</v>
      </c>
      <c r="H53" s="94">
        <f t="shared" si="3"/>
        <v>11985</v>
      </c>
      <c r="I53" s="303">
        <f t="shared" si="4"/>
        <v>5.6520000000000001</v>
      </c>
      <c r="J53" s="455">
        <f t="shared" si="5"/>
        <v>67739.22</v>
      </c>
      <c r="L53" s="460">
        <v>0.23466666666666669</v>
      </c>
      <c r="M53" s="463">
        <v>2812.4800000000005</v>
      </c>
      <c r="N53" s="465">
        <f t="shared" si="6"/>
        <v>3656.2240000000006</v>
      </c>
      <c r="O53" s="464">
        <f t="shared" si="7"/>
        <v>0.30506666666666671</v>
      </c>
      <c r="Q53" s="508">
        <v>3.1289111389236547E-2</v>
      </c>
      <c r="R53" s="506">
        <f t="shared" si="0"/>
        <v>375</v>
      </c>
      <c r="S53" s="507">
        <f t="shared" si="8"/>
        <v>5.0999999999999996</v>
      </c>
      <c r="T53" s="454">
        <f t="shared" si="9"/>
        <v>1912.4999999999998</v>
      </c>
      <c r="U53" s="466">
        <f t="shared" si="10"/>
        <v>0.15957446808510636</v>
      </c>
      <c r="W53" s="498">
        <f t="shared" si="1"/>
        <v>11985</v>
      </c>
      <c r="X53" s="496">
        <f t="shared" si="11"/>
        <v>0.05</v>
      </c>
      <c r="Y53" s="497">
        <f t="shared" si="12"/>
        <v>599.25</v>
      </c>
      <c r="Z53" s="495">
        <f t="shared" si="2"/>
        <v>0.05</v>
      </c>
      <c r="AB53" s="375">
        <f t="shared" si="13"/>
        <v>6.1666411347517736</v>
      </c>
      <c r="AC53" s="376">
        <f t="shared" si="14"/>
        <v>73907.194000000003</v>
      </c>
      <c r="AD53" s="293"/>
      <c r="AE53" s="528"/>
      <c r="AF53" s="291"/>
    </row>
    <row r="54" spans="1:32" ht="14.5" x14ac:dyDescent="0.35">
      <c r="A54">
        <v>2035</v>
      </c>
      <c r="B54" s="80" t="s">
        <v>360</v>
      </c>
      <c r="C54" s="64" t="s">
        <v>320</v>
      </c>
      <c r="D54">
        <v>2035</v>
      </c>
      <c r="E54" s="417">
        <v>1170</v>
      </c>
      <c r="F54" s="302">
        <v>3120</v>
      </c>
      <c r="G54" s="302">
        <v>3240</v>
      </c>
      <c r="H54" s="94">
        <f t="shared" si="3"/>
        <v>7530</v>
      </c>
      <c r="I54" s="303">
        <f t="shared" si="4"/>
        <v>5.6520000000000001</v>
      </c>
      <c r="J54" s="455">
        <f t="shared" si="5"/>
        <v>42559.56</v>
      </c>
      <c r="L54" s="460">
        <v>0.21299999999999999</v>
      </c>
      <c r="M54" s="463">
        <v>1603.8899999999999</v>
      </c>
      <c r="N54" s="465">
        <f t="shared" si="6"/>
        <v>2085.0569999999998</v>
      </c>
      <c r="O54" s="464">
        <f t="shared" si="7"/>
        <v>0.27689999999999998</v>
      </c>
      <c r="Q54" s="508">
        <v>0</v>
      </c>
      <c r="R54" s="506">
        <f t="shared" si="0"/>
        <v>0</v>
      </c>
      <c r="S54" s="507">
        <f t="shared" si="8"/>
        <v>5.0999999999999996</v>
      </c>
      <c r="T54" s="454">
        <f t="shared" si="9"/>
        <v>0</v>
      </c>
      <c r="U54" s="466">
        <f t="shared" si="10"/>
        <v>0</v>
      </c>
      <c r="W54" s="498">
        <f t="shared" si="1"/>
        <v>7530</v>
      </c>
      <c r="X54" s="496">
        <f t="shared" si="11"/>
        <v>0.05</v>
      </c>
      <c r="Y54" s="497">
        <f t="shared" si="12"/>
        <v>376.5</v>
      </c>
      <c r="Z54" s="495">
        <f t="shared" si="2"/>
        <v>0.05</v>
      </c>
      <c r="AB54" s="375">
        <f t="shared" si="13"/>
        <v>5.9788999999999994</v>
      </c>
      <c r="AC54" s="376">
        <f t="shared" si="14"/>
        <v>45021.116999999998</v>
      </c>
      <c r="AD54" s="293"/>
      <c r="AE54" s="528"/>
      <c r="AF54" s="291"/>
    </row>
    <row r="55" spans="1:32" ht="14.5" x14ac:dyDescent="0.35">
      <c r="A55">
        <v>3404</v>
      </c>
      <c r="B55" s="80" t="s">
        <v>361</v>
      </c>
      <c r="C55" s="64" t="s">
        <v>320</v>
      </c>
      <c r="D55">
        <v>3404</v>
      </c>
      <c r="E55" s="417">
        <v>5460</v>
      </c>
      <c r="F55" s="302">
        <v>4875</v>
      </c>
      <c r="G55" s="302">
        <v>2700</v>
      </c>
      <c r="H55" s="94">
        <f t="shared" si="3"/>
        <v>13035</v>
      </c>
      <c r="I55" s="303">
        <f t="shared" si="4"/>
        <v>5.6520000000000001</v>
      </c>
      <c r="J55" s="455">
        <f t="shared" si="5"/>
        <v>73673.820000000007</v>
      </c>
      <c r="L55" s="460">
        <v>0.20581818181818179</v>
      </c>
      <c r="M55" s="463">
        <v>2682.8399999999997</v>
      </c>
      <c r="N55" s="465">
        <f t="shared" si="6"/>
        <v>3487.6919999999996</v>
      </c>
      <c r="O55" s="464">
        <f t="shared" si="7"/>
        <v>0.26756363636363634</v>
      </c>
      <c r="Q55" s="508">
        <v>0.12</v>
      </c>
      <c r="R55" s="506">
        <f t="shared" si="0"/>
        <v>1564.2</v>
      </c>
      <c r="S55" s="507">
        <f t="shared" si="8"/>
        <v>5.0999999999999996</v>
      </c>
      <c r="T55" s="454">
        <f t="shared" si="9"/>
        <v>7977.42</v>
      </c>
      <c r="U55" s="466">
        <f t="shared" si="10"/>
        <v>0.61199999999999999</v>
      </c>
      <c r="W55" s="498">
        <f t="shared" si="1"/>
        <v>13035</v>
      </c>
      <c r="X55" s="496">
        <f t="shared" si="11"/>
        <v>0.05</v>
      </c>
      <c r="Y55" s="497">
        <f t="shared" si="12"/>
        <v>651.75</v>
      </c>
      <c r="Z55" s="495">
        <f t="shared" si="2"/>
        <v>0.05</v>
      </c>
      <c r="AB55" s="375">
        <f t="shared" si="13"/>
        <v>6.5815636363636365</v>
      </c>
      <c r="AC55" s="376">
        <f t="shared" si="14"/>
        <v>85790.682000000001</v>
      </c>
      <c r="AD55" s="293"/>
      <c r="AE55" s="528"/>
      <c r="AF55" s="291"/>
    </row>
    <row r="56" spans="1:32" ht="14.5" x14ac:dyDescent="0.35">
      <c r="A56">
        <v>3306</v>
      </c>
      <c r="B56" s="80" t="s">
        <v>362</v>
      </c>
      <c r="C56" s="64" t="s">
        <v>320</v>
      </c>
      <c r="D56">
        <v>3306</v>
      </c>
      <c r="E56" s="417">
        <v>5070</v>
      </c>
      <c r="F56" s="302">
        <v>6630</v>
      </c>
      <c r="G56" s="302">
        <v>6300</v>
      </c>
      <c r="H56" s="94">
        <f t="shared" si="3"/>
        <v>18000</v>
      </c>
      <c r="I56" s="303">
        <f t="shared" si="4"/>
        <v>5.6520000000000001</v>
      </c>
      <c r="J56" s="455">
        <f t="shared" si="5"/>
        <v>101736</v>
      </c>
      <c r="L56" s="460">
        <v>0.24624999999999997</v>
      </c>
      <c r="M56" s="463">
        <v>4432.4999999999991</v>
      </c>
      <c r="N56" s="465">
        <f t="shared" si="6"/>
        <v>5762.2499999999991</v>
      </c>
      <c r="O56" s="464">
        <f t="shared" si="7"/>
        <v>0.32012499999999994</v>
      </c>
      <c r="Q56" s="508">
        <v>8.8235294117647065E-2</v>
      </c>
      <c r="R56" s="506">
        <f t="shared" si="0"/>
        <v>1588.2352941176471</v>
      </c>
      <c r="S56" s="507">
        <f t="shared" si="8"/>
        <v>5.0999999999999996</v>
      </c>
      <c r="T56" s="454">
        <f t="shared" si="9"/>
        <v>8099.9999999999991</v>
      </c>
      <c r="U56" s="466">
        <f t="shared" si="10"/>
        <v>0.44999999999999996</v>
      </c>
      <c r="W56" s="498">
        <f t="shared" si="1"/>
        <v>18000</v>
      </c>
      <c r="X56" s="496">
        <f t="shared" si="11"/>
        <v>0.05</v>
      </c>
      <c r="Y56" s="497">
        <f t="shared" si="12"/>
        <v>900</v>
      </c>
      <c r="Z56" s="495">
        <f t="shared" si="2"/>
        <v>0.05</v>
      </c>
      <c r="AB56" s="375">
        <f t="shared" si="13"/>
        <v>6.4721250000000001</v>
      </c>
      <c r="AC56" s="376">
        <f t="shared" si="14"/>
        <v>116498.25</v>
      </c>
      <c r="AD56" s="293"/>
      <c r="AE56" s="528"/>
      <c r="AF56" s="291"/>
    </row>
    <row r="57" spans="1:32" ht="14.5" x14ac:dyDescent="0.35">
      <c r="A57">
        <v>3400</v>
      </c>
      <c r="B57" s="80" t="s">
        <v>363</v>
      </c>
      <c r="C57" s="64" t="s">
        <v>320</v>
      </c>
      <c r="D57">
        <v>3400</v>
      </c>
      <c r="E57" s="417">
        <v>5070</v>
      </c>
      <c r="F57" s="302">
        <v>4290</v>
      </c>
      <c r="G57" s="302">
        <v>4680</v>
      </c>
      <c r="H57" s="94">
        <f t="shared" si="3"/>
        <v>14040</v>
      </c>
      <c r="I57" s="303">
        <f t="shared" si="4"/>
        <v>5.6520000000000001</v>
      </c>
      <c r="J57" s="455">
        <f t="shared" si="5"/>
        <v>79354.080000000002</v>
      </c>
      <c r="L57" s="460">
        <v>0.12038461538461537</v>
      </c>
      <c r="M57" s="463">
        <v>1690.1999999999998</v>
      </c>
      <c r="N57" s="465">
        <f t="shared" si="6"/>
        <v>2197.2599999999998</v>
      </c>
      <c r="O57" s="464">
        <f t="shared" si="7"/>
        <v>0.15649999999999997</v>
      </c>
      <c r="Q57" s="508">
        <v>0</v>
      </c>
      <c r="R57" s="506">
        <f t="shared" si="0"/>
        <v>0</v>
      </c>
      <c r="S57" s="507">
        <f t="shared" si="8"/>
        <v>5.0999999999999996</v>
      </c>
      <c r="T57" s="454">
        <f t="shared" si="9"/>
        <v>0</v>
      </c>
      <c r="U57" s="466">
        <f t="shared" si="10"/>
        <v>0</v>
      </c>
      <c r="W57" s="498">
        <f t="shared" si="1"/>
        <v>14040</v>
      </c>
      <c r="X57" s="496">
        <f t="shared" si="11"/>
        <v>0.05</v>
      </c>
      <c r="Y57" s="497">
        <f t="shared" si="12"/>
        <v>702</v>
      </c>
      <c r="Z57" s="495">
        <f t="shared" si="2"/>
        <v>0.05</v>
      </c>
      <c r="AB57" s="375">
        <f t="shared" si="13"/>
        <v>5.8584999999999994</v>
      </c>
      <c r="AC57" s="376">
        <f t="shared" si="14"/>
        <v>82253.34</v>
      </c>
      <c r="AD57" s="293"/>
      <c r="AE57" s="528"/>
      <c r="AF57" s="291"/>
    </row>
    <row r="58" spans="1:32" ht="14.5" x14ac:dyDescent="0.35">
      <c r="A58">
        <v>2004</v>
      </c>
      <c r="B58" s="80" t="s">
        <v>171</v>
      </c>
      <c r="C58" s="64" t="s">
        <v>320</v>
      </c>
      <c r="D58">
        <v>2004</v>
      </c>
      <c r="E58" s="417">
        <v>11115</v>
      </c>
      <c r="F58" s="302">
        <v>7605</v>
      </c>
      <c r="G58" s="302">
        <v>5361</v>
      </c>
      <c r="H58" s="94">
        <f t="shared" si="3"/>
        <v>24081</v>
      </c>
      <c r="I58" s="303">
        <f t="shared" si="4"/>
        <v>5.6520000000000001</v>
      </c>
      <c r="J58" s="455">
        <f t="shared" si="5"/>
        <v>136105.81200000001</v>
      </c>
      <c r="L58" s="460">
        <v>6.4619047619047618E-2</v>
      </c>
      <c r="M58" s="463">
        <v>1556.0912857142857</v>
      </c>
      <c r="N58" s="465">
        <f t="shared" si="6"/>
        <v>2022.9186714285715</v>
      </c>
      <c r="O58" s="464">
        <f t="shared" si="7"/>
        <v>8.4004761904761915E-2</v>
      </c>
      <c r="Q58" s="508">
        <v>0</v>
      </c>
      <c r="R58" s="506">
        <f t="shared" si="0"/>
        <v>0</v>
      </c>
      <c r="S58" s="507">
        <f t="shared" si="8"/>
        <v>5.0999999999999996</v>
      </c>
      <c r="T58" s="454">
        <f t="shared" si="9"/>
        <v>0</v>
      </c>
      <c r="U58" s="466">
        <f t="shared" si="10"/>
        <v>0</v>
      </c>
      <c r="W58" s="498">
        <f t="shared" si="1"/>
        <v>24081</v>
      </c>
      <c r="X58" s="496">
        <f t="shared" si="11"/>
        <v>0.05</v>
      </c>
      <c r="Y58" s="497">
        <f t="shared" si="12"/>
        <v>1204.05</v>
      </c>
      <c r="Z58" s="495">
        <f t="shared" si="2"/>
        <v>4.9999999999999996E-2</v>
      </c>
      <c r="AB58" s="375">
        <f t="shared" si="13"/>
        <v>5.7860047619047617</v>
      </c>
      <c r="AC58" s="376">
        <f t="shared" si="14"/>
        <v>139332.78067142857</v>
      </c>
      <c r="AD58" s="293"/>
      <c r="AE58" s="528"/>
      <c r="AF58" s="291"/>
    </row>
    <row r="59" spans="1:32" ht="14.5" x14ac:dyDescent="0.35">
      <c r="A59">
        <v>2065</v>
      </c>
      <c r="B59" s="80" t="s">
        <v>364</v>
      </c>
      <c r="C59" s="64" t="s">
        <v>320</v>
      </c>
      <c r="D59">
        <v>2065</v>
      </c>
      <c r="E59" s="417">
        <v>7020</v>
      </c>
      <c r="F59" s="302">
        <v>5265</v>
      </c>
      <c r="G59" s="302">
        <v>5940</v>
      </c>
      <c r="H59" s="94">
        <f t="shared" si="3"/>
        <v>18225</v>
      </c>
      <c r="I59" s="303">
        <f t="shared" si="4"/>
        <v>5.6520000000000001</v>
      </c>
      <c r="J59" s="455">
        <f t="shared" si="5"/>
        <v>103007.7</v>
      </c>
      <c r="L59" s="461">
        <v>0.158</v>
      </c>
      <c r="M59" s="463">
        <v>2879.55</v>
      </c>
      <c r="N59" s="465">
        <f t="shared" si="6"/>
        <v>3743.4150000000004</v>
      </c>
      <c r="O59" s="464">
        <f t="shared" si="7"/>
        <v>0.20540000000000003</v>
      </c>
      <c r="Q59" s="508">
        <v>0</v>
      </c>
      <c r="R59" s="506">
        <f t="shared" si="0"/>
        <v>0</v>
      </c>
      <c r="S59" s="507">
        <f t="shared" si="8"/>
        <v>5.0999999999999996</v>
      </c>
      <c r="T59" s="454">
        <f t="shared" si="9"/>
        <v>0</v>
      </c>
      <c r="U59" s="466">
        <f t="shared" si="10"/>
        <v>0</v>
      </c>
      <c r="W59" s="498">
        <f t="shared" si="1"/>
        <v>18225</v>
      </c>
      <c r="X59" s="496">
        <f t="shared" si="11"/>
        <v>0.05</v>
      </c>
      <c r="Y59" s="497">
        <f t="shared" si="12"/>
        <v>911.25</v>
      </c>
      <c r="Z59" s="495">
        <f t="shared" si="2"/>
        <v>0.05</v>
      </c>
      <c r="AB59" s="375">
        <f t="shared" si="13"/>
        <v>5.9073999999999991</v>
      </c>
      <c r="AC59" s="376">
        <f t="shared" si="14"/>
        <v>107662.36499999999</v>
      </c>
      <c r="AD59" s="293"/>
      <c r="AE59" s="528"/>
      <c r="AF59" s="291"/>
    </row>
    <row r="60" spans="1:32" ht="14.5" x14ac:dyDescent="0.35">
      <c r="A60">
        <v>2051</v>
      </c>
      <c r="B60" s="80" t="s">
        <v>365</v>
      </c>
      <c r="C60" s="64" t="s">
        <v>320</v>
      </c>
      <c r="D60">
        <v>2051</v>
      </c>
      <c r="E60" s="417">
        <v>9945</v>
      </c>
      <c r="F60" s="302">
        <v>10140</v>
      </c>
      <c r="G60" s="302">
        <v>9180</v>
      </c>
      <c r="H60" s="94">
        <f t="shared" si="3"/>
        <v>29265</v>
      </c>
      <c r="I60" s="303">
        <f t="shared" si="4"/>
        <v>5.6520000000000001</v>
      </c>
      <c r="J60" s="455">
        <f t="shared" si="5"/>
        <v>165405.78</v>
      </c>
      <c r="L60" s="460">
        <v>0.24299999999999999</v>
      </c>
      <c r="M60" s="463">
        <v>7111.3949999999995</v>
      </c>
      <c r="N60" s="465">
        <f t="shared" si="6"/>
        <v>9244.8135000000002</v>
      </c>
      <c r="O60" s="464">
        <f t="shared" si="7"/>
        <v>0.31590000000000001</v>
      </c>
      <c r="Q60" s="508">
        <v>1.9230769230769232E-2</v>
      </c>
      <c r="R60" s="506">
        <f t="shared" si="0"/>
        <v>562.78846153846155</v>
      </c>
      <c r="S60" s="507">
        <f t="shared" si="8"/>
        <v>5.0999999999999996</v>
      </c>
      <c r="T60" s="454">
        <f t="shared" si="9"/>
        <v>2870.2211538461538</v>
      </c>
      <c r="U60" s="466">
        <f t="shared" si="10"/>
        <v>9.8076923076923075E-2</v>
      </c>
      <c r="W60" s="498">
        <f t="shared" si="1"/>
        <v>29265</v>
      </c>
      <c r="X60" s="496">
        <f t="shared" si="11"/>
        <v>0.05</v>
      </c>
      <c r="Y60" s="497">
        <f t="shared" si="12"/>
        <v>1463.25</v>
      </c>
      <c r="Z60" s="495">
        <f t="shared" si="2"/>
        <v>0.05</v>
      </c>
      <c r="AB60" s="375">
        <f t="shared" si="13"/>
        <v>6.1159769230769223</v>
      </c>
      <c r="AC60" s="376">
        <f t="shared" si="14"/>
        <v>178984.06465384614</v>
      </c>
      <c r="AD60" s="293"/>
      <c r="AE60" s="528"/>
      <c r="AF60" s="291"/>
    </row>
    <row r="61" spans="1:32" ht="14.5" x14ac:dyDescent="0.35">
      <c r="A61">
        <v>2069</v>
      </c>
      <c r="B61" s="80" t="s">
        <v>366</v>
      </c>
      <c r="C61" s="64" t="s">
        <v>320</v>
      </c>
      <c r="D61">
        <v>2069</v>
      </c>
      <c r="E61" s="417">
        <v>11700</v>
      </c>
      <c r="F61" s="302">
        <v>9945</v>
      </c>
      <c r="G61" s="302">
        <v>10620</v>
      </c>
      <c r="H61" s="94">
        <f t="shared" si="3"/>
        <v>32265</v>
      </c>
      <c r="I61" s="303">
        <f t="shared" si="4"/>
        <v>5.6520000000000001</v>
      </c>
      <c r="J61" s="455">
        <f t="shared" si="5"/>
        <v>182361.78</v>
      </c>
      <c r="L61" s="461">
        <v>0.158</v>
      </c>
      <c r="M61" s="463">
        <v>5097.87</v>
      </c>
      <c r="N61" s="465">
        <f t="shared" si="6"/>
        <v>6627.2309999999998</v>
      </c>
      <c r="O61" s="464">
        <f t="shared" si="7"/>
        <v>0.2054</v>
      </c>
      <c r="Q61" s="508">
        <v>7.8431372549019607E-2</v>
      </c>
      <c r="R61" s="506">
        <f t="shared" si="0"/>
        <v>2530.5882352941176</v>
      </c>
      <c r="S61" s="507">
        <f t="shared" si="8"/>
        <v>5.0999999999999996</v>
      </c>
      <c r="T61" s="454">
        <f t="shared" si="9"/>
        <v>12905.999999999998</v>
      </c>
      <c r="U61" s="466">
        <f t="shared" si="10"/>
        <v>0.39999999999999997</v>
      </c>
      <c r="W61" s="498">
        <f t="shared" si="1"/>
        <v>32265</v>
      </c>
      <c r="X61" s="496">
        <f t="shared" si="11"/>
        <v>0.05</v>
      </c>
      <c r="Y61" s="497">
        <f t="shared" si="12"/>
        <v>1613.25</v>
      </c>
      <c r="Z61" s="495">
        <f t="shared" si="2"/>
        <v>0.05</v>
      </c>
      <c r="AB61" s="375">
        <f t="shared" si="13"/>
        <v>6.3074000000000003</v>
      </c>
      <c r="AC61" s="376">
        <f t="shared" si="14"/>
        <v>203508.261</v>
      </c>
      <c r="AD61" s="293"/>
      <c r="AE61" s="528"/>
      <c r="AF61" s="291"/>
    </row>
    <row r="62" spans="1:32" ht="14.5" x14ac:dyDescent="0.35">
      <c r="A62">
        <v>2074</v>
      </c>
      <c r="B62" s="80" t="s">
        <v>367</v>
      </c>
      <c r="C62" s="64" t="s">
        <v>320</v>
      </c>
      <c r="D62">
        <v>2074</v>
      </c>
      <c r="E62" s="417">
        <v>10335</v>
      </c>
      <c r="F62" s="302">
        <v>8970</v>
      </c>
      <c r="G62" s="302">
        <v>8100</v>
      </c>
      <c r="H62" s="94">
        <f t="shared" si="3"/>
        <v>27405</v>
      </c>
      <c r="I62" s="303">
        <f t="shared" si="4"/>
        <v>5.6520000000000001</v>
      </c>
      <c r="J62" s="455">
        <f t="shared" si="5"/>
        <v>154893.06</v>
      </c>
      <c r="L62" s="460">
        <v>9.2809523809523786E-2</v>
      </c>
      <c r="M62" s="463">
        <v>2543.4449999999993</v>
      </c>
      <c r="N62" s="465">
        <f t="shared" si="6"/>
        <v>3306.4784999999993</v>
      </c>
      <c r="O62" s="464">
        <f t="shared" si="7"/>
        <v>0.12065238095238093</v>
      </c>
      <c r="Q62" s="508">
        <v>2.1739130434782608E-2</v>
      </c>
      <c r="R62" s="506">
        <f t="shared" si="0"/>
        <v>595.76086956521738</v>
      </c>
      <c r="S62" s="507">
        <f t="shared" si="8"/>
        <v>5.0999999999999996</v>
      </c>
      <c r="T62" s="454">
        <f t="shared" si="9"/>
        <v>3038.3804347826085</v>
      </c>
      <c r="U62" s="466">
        <f t="shared" si="10"/>
        <v>0.1108695652173913</v>
      </c>
      <c r="W62" s="498">
        <f t="shared" si="1"/>
        <v>27405</v>
      </c>
      <c r="X62" s="496">
        <f t="shared" si="11"/>
        <v>0.05</v>
      </c>
      <c r="Y62" s="497">
        <f t="shared" si="12"/>
        <v>1370.25</v>
      </c>
      <c r="Z62" s="495">
        <f t="shared" si="2"/>
        <v>0.05</v>
      </c>
      <c r="AB62" s="375">
        <f t="shared" si="13"/>
        <v>5.9335219461697726</v>
      </c>
      <c r="AC62" s="376">
        <f t="shared" si="14"/>
        <v>162608.16893478262</v>
      </c>
      <c r="AD62" s="293"/>
      <c r="AE62" s="528"/>
      <c r="AF62" s="291"/>
    </row>
    <row r="63" spans="1:32" ht="14.5" x14ac:dyDescent="0.35">
      <c r="A63">
        <v>2049</v>
      </c>
      <c r="B63" s="80" t="s">
        <v>368</v>
      </c>
      <c r="C63" s="64" t="s">
        <v>320</v>
      </c>
      <c r="D63">
        <v>2049</v>
      </c>
      <c r="E63" s="417">
        <v>9555</v>
      </c>
      <c r="F63" s="302">
        <v>9165</v>
      </c>
      <c r="G63" s="302">
        <v>10080</v>
      </c>
      <c r="H63" s="94">
        <f t="shared" si="3"/>
        <v>28800</v>
      </c>
      <c r="I63" s="303">
        <f t="shared" si="4"/>
        <v>5.6520000000000001</v>
      </c>
      <c r="J63" s="455">
        <f t="shared" si="5"/>
        <v>162777.60000000001</v>
      </c>
      <c r="L63" s="460">
        <v>0.12275</v>
      </c>
      <c r="M63" s="463">
        <v>3535.2</v>
      </c>
      <c r="N63" s="465">
        <f t="shared" si="6"/>
        <v>4595.76</v>
      </c>
      <c r="O63" s="464">
        <f t="shared" si="7"/>
        <v>0.15957499999999999</v>
      </c>
      <c r="Q63" s="508">
        <v>2.1276595744680851E-2</v>
      </c>
      <c r="R63" s="506">
        <f t="shared" si="0"/>
        <v>612.76595744680844</v>
      </c>
      <c r="S63" s="507">
        <f t="shared" si="8"/>
        <v>5.0999999999999996</v>
      </c>
      <c r="T63" s="454">
        <f t="shared" si="9"/>
        <v>3125.1063829787226</v>
      </c>
      <c r="U63" s="466">
        <f t="shared" si="10"/>
        <v>0.10851063829787232</v>
      </c>
      <c r="W63" s="498">
        <f t="shared" si="1"/>
        <v>28800</v>
      </c>
      <c r="X63" s="496">
        <f t="shared" si="11"/>
        <v>0.05</v>
      </c>
      <c r="Y63" s="497">
        <f t="shared" si="12"/>
        <v>1440</v>
      </c>
      <c r="Z63" s="495">
        <f t="shared" si="2"/>
        <v>0.05</v>
      </c>
      <c r="AB63" s="375">
        <f t="shared" si="13"/>
        <v>5.9700856382978724</v>
      </c>
      <c r="AC63" s="376">
        <f t="shared" si="14"/>
        <v>171938.46638297872</v>
      </c>
      <c r="AD63" s="293"/>
      <c r="AE63" s="528"/>
      <c r="AF63" s="291"/>
    </row>
    <row r="64" spans="1:32" ht="14.5" x14ac:dyDescent="0.35">
      <c r="A64">
        <v>2082</v>
      </c>
      <c r="B64" s="80" t="s">
        <v>369</v>
      </c>
      <c r="C64" s="64" t="s">
        <v>320</v>
      </c>
      <c r="D64" s="555">
        <v>2082</v>
      </c>
      <c r="E64" s="417">
        <v>11115</v>
      </c>
      <c r="F64" s="302">
        <v>8385</v>
      </c>
      <c r="G64" s="302">
        <v>19080</v>
      </c>
      <c r="H64" s="94">
        <f t="shared" si="3"/>
        <v>38580</v>
      </c>
      <c r="I64" s="303">
        <f t="shared" si="4"/>
        <v>5.6520000000000001</v>
      </c>
      <c r="J64" s="455">
        <f t="shared" si="5"/>
        <v>218054.16</v>
      </c>
      <c r="L64" s="461">
        <v>0.158</v>
      </c>
      <c r="M64" s="463">
        <v>6095.64</v>
      </c>
      <c r="N64" s="465">
        <f t="shared" si="6"/>
        <v>7924.3320000000003</v>
      </c>
      <c r="O64" s="464">
        <f t="shared" si="7"/>
        <v>0.2054</v>
      </c>
      <c r="Q64" s="508">
        <v>0</v>
      </c>
      <c r="R64" s="506">
        <f t="shared" si="0"/>
        <v>0</v>
      </c>
      <c r="S64" s="507">
        <f t="shared" si="8"/>
        <v>5.0999999999999996</v>
      </c>
      <c r="T64" s="454">
        <f t="shared" si="9"/>
        <v>0</v>
      </c>
      <c r="U64" s="466">
        <f t="shared" si="10"/>
        <v>0</v>
      </c>
      <c r="W64" s="498">
        <f t="shared" si="1"/>
        <v>38580</v>
      </c>
      <c r="X64" s="496">
        <f t="shared" si="11"/>
        <v>0.05</v>
      </c>
      <c r="Y64" s="497">
        <f t="shared" si="12"/>
        <v>1929</v>
      </c>
      <c r="Z64" s="495">
        <f t="shared" si="2"/>
        <v>0.05</v>
      </c>
      <c r="AB64" s="375">
        <f t="shared" si="13"/>
        <v>5.9074</v>
      </c>
      <c r="AC64" s="376">
        <f t="shared" si="14"/>
        <v>227907.492</v>
      </c>
      <c r="AD64" s="293"/>
      <c r="AE64" s="528"/>
      <c r="AF64" s="291"/>
    </row>
    <row r="65" spans="1:32" ht="14.5" x14ac:dyDescent="0.35">
      <c r="A65">
        <v>2060</v>
      </c>
      <c r="B65" s="80" t="s">
        <v>370</v>
      </c>
      <c r="C65" s="64" t="s">
        <v>320</v>
      </c>
      <c r="D65" s="555">
        <v>2060</v>
      </c>
      <c r="E65" s="417">
        <v>20865</v>
      </c>
      <c r="F65" s="302">
        <v>21840</v>
      </c>
      <c r="G65" s="302">
        <v>17820</v>
      </c>
      <c r="H65" s="94">
        <f t="shared" si="3"/>
        <v>60525</v>
      </c>
      <c r="I65" s="303">
        <f t="shared" si="4"/>
        <v>5.6520000000000001</v>
      </c>
      <c r="J65" s="455">
        <f t="shared" si="5"/>
        <v>342087.3</v>
      </c>
      <c r="L65" s="460">
        <v>0.21787499999999996</v>
      </c>
      <c r="M65" s="463">
        <v>13186.884374999998</v>
      </c>
      <c r="N65" s="465">
        <f t="shared" si="6"/>
        <v>17142.949687499997</v>
      </c>
      <c r="O65" s="464">
        <f t="shared" si="7"/>
        <v>0.28323749999999992</v>
      </c>
      <c r="Q65" s="508">
        <v>8.9285714285714288E-2</v>
      </c>
      <c r="R65" s="506">
        <v>3444.6428571428573</v>
      </c>
      <c r="S65" s="507">
        <f t="shared" si="8"/>
        <v>5.0999999999999996</v>
      </c>
      <c r="T65" s="454">
        <v>18791.678571428572</v>
      </c>
      <c r="U65" s="466">
        <f t="shared" si="10"/>
        <v>0.31047796070100903</v>
      </c>
      <c r="W65" s="498">
        <f t="shared" si="1"/>
        <v>60525</v>
      </c>
      <c r="X65" s="496">
        <f t="shared" si="11"/>
        <v>0.05</v>
      </c>
      <c r="Y65" s="497">
        <f t="shared" si="12"/>
        <v>3026.25</v>
      </c>
      <c r="Z65" s="495">
        <f t="shared" si="2"/>
        <v>0.05</v>
      </c>
      <c r="AB65" s="375">
        <f t="shared" si="13"/>
        <v>6.2957154607010093</v>
      </c>
      <c r="AC65" s="376">
        <f t="shared" si="14"/>
        <v>381048.17825892859</v>
      </c>
      <c r="AD65" s="293"/>
      <c r="AE65" s="528"/>
      <c r="AF65" s="291"/>
    </row>
    <row r="66" spans="1:32" ht="15" thickBot="1" x14ac:dyDescent="0.4">
      <c r="B66" s="80" t="s">
        <v>262</v>
      </c>
      <c r="C66" s="64"/>
      <c r="E66" s="419"/>
      <c r="F66" s="311"/>
      <c r="G66" s="312"/>
      <c r="H66" s="94">
        <v>10000</v>
      </c>
      <c r="I66" s="303">
        <f t="shared" si="4"/>
        <v>5.6520000000000001</v>
      </c>
      <c r="J66" s="456">
        <f t="shared" si="5"/>
        <v>56520</v>
      </c>
      <c r="L66" s="399"/>
      <c r="M66" s="304"/>
      <c r="N66" s="305"/>
      <c r="O66" s="400"/>
      <c r="Q66" s="439"/>
      <c r="R66" s="313"/>
      <c r="S66" s="314"/>
      <c r="T66" s="468"/>
      <c r="U66" s="441"/>
      <c r="W66" s="498">
        <f t="shared" si="1"/>
        <v>10000</v>
      </c>
      <c r="X66" s="496">
        <f t="shared" si="11"/>
        <v>0.05</v>
      </c>
      <c r="Y66" s="497">
        <f t="shared" si="12"/>
        <v>500</v>
      </c>
      <c r="Z66" s="495">
        <f t="shared" si="2"/>
        <v>0.05</v>
      </c>
      <c r="AB66" s="375">
        <f t="shared" si="13"/>
        <v>5.702</v>
      </c>
      <c r="AC66" s="376">
        <f t="shared" si="14"/>
        <v>57020</v>
      </c>
      <c r="AD66" s="293"/>
      <c r="AE66" s="528"/>
      <c r="AF66" s="291"/>
    </row>
    <row r="67" spans="1:32" ht="14.5" x14ac:dyDescent="0.35">
      <c r="B67" s="315" t="s">
        <v>371</v>
      </c>
      <c r="C67" s="105"/>
      <c r="E67" s="420">
        <f>SUM(E10:E66)</f>
        <v>588510</v>
      </c>
      <c r="F67" s="316">
        <f>SUM(F10:F66)</f>
        <v>455520</v>
      </c>
      <c r="G67" s="316">
        <f>SUM(G10:G66)</f>
        <v>473151</v>
      </c>
      <c r="H67" s="316">
        <f>SUM(H10:H66)</f>
        <v>1527181</v>
      </c>
      <c r="I67" s="194"/>
      <c r="J67" s="377">
        <f>SUM(J10:J66)</f>
        <v>8631627.012000002</v>
      </c>
      <c r="K67" s="408">
        <v>0</v>
      </c>
      <c r="L67" s="401"/>
      <c r="M67" s="94">
        <f>SUM(M10:M66)</f>
        <v>242581.88598515917</v>
      </c>
      <c r="N67" s="94">
        <f>SUM(N10:N66)</f>
        <v>315356.45178070688</v>
      </c>
      <c r="O67" s="377"/>
      <c r="P67" s="68"/>
      <c r="Q67" s="401"/>
      <c r="R67" s="94">
        <f>SUM(R10:R66)</f>
        <v>101669.20546449938</v>
      </c>
      <c r="S67" s="317"/>
      <c r="T67" s="318">
        <f>SUM(T10:T66)</f>
        <v>519736.94786894682</v>
      </c>
      <c r="U67" s="442"/>
      <c r="V67" s="195"/>
      <c r="W67" s="389">
        <f>SUM(W10:W66)</f>
        <v>1527181</v>
      </c>
      <c r="X67" s="195"/>
      <c r="Y67" s="195">
        <f>SUM(Y10:Y66)</f>
        <v>76359.05</v>
      </c>
      <c r="Z67" s="499"/>
      <c r="AA67" s="195"/>
      <c r="AB67" s="452"/>
      <c r="AC67" s="377">
        <f>SUM(AC10:AC66)</f>
        <v>9543079.4616496544</v>
      </c>
      <c r="AE67" s="529"/>
      <c r="AF67" s="525"/>
    </row>
    <row r="68" spans="1:32" ht="15" thickBot="1" x14ac:dyDescent="0.4">
      <c r="B68" s="80"/>
      <c r="C68" s="64"/>
      <c r="E68" s="421"/>
      <c r="F68" s="14"/>
      <c r="G68" s="79"/>
      <c r="H68" s="320"/>
      <c r="I68" s="17"/>
      <c r="J68" s="378"/>
      <c r="K68" s="7"/>
      <c r="L68" s="402"/>
      <c r="M68" s="322"/>
      <c r="N68" s="17"/>
      <c r="O68" s="378"/>
      <c r="P68" s="68"/>
      <c r="Q68" s="509"/>
      <c r="R68" s="510"/>
      <c r="S68" s="511"/>
      <c r="T68" s="512"/>
      <c r="U68" s="513"/>
      <c r="V68" s="68"/>
      <c r="W68" s="501"/>
      <c r="X68" s="502"/>
      <c r="Y68" s="502"/>
      <c r="Z68" s="503"/>
      <c r="AA68" s="68"/>
      <c r="AB68" s="373"/>
      <c r="AC68" s="378"/>
      <c r="AE68" s="530"/>
      <c r="AF68" s="526"/>
    </row>
    <row r="69" spans="1:32" ht="15" thickBot="1" x14ac:dyDescent="0.4">
      <c r="A69" s="469"/>
      <c r="B69" s="470" t="s">
        <v>372</v>
      </c>
      <c r="C69" s="471"/>
      <c r="D69" s="472"/>
      <c r="E69" s="473">
        <f>E67+'EYSFF (Additional)'!D60</f>
        <v>728774</v>
      </c>
      <c r="F69" s="474">
        <f>F67+'EYSFF (Additional)'!E60</f>
        <v>560998</v>
      </c>
      <c r="G69" s="474">
        <f>G67+'EYSFF (Additional)'!F58</f>
        <v>596093</v>
      </c>
      <c r="H69" s="474">
        <f>H67+'EYSFF (Additional)'!G60</f>
        <v>1895865</v>
      </c>
      <c r="I69" s="475"/>
      <c r="J69" s="476">
        <f>J67+'EYSFF (Additional)'!I58</f>
        <v>10715434.180000003</v>
      </c>
      <c r="K69" s="477"/>
      <c r="L69" s="478"/>
      <c r="M69" s="479">
        <f>M67+'EYSFF (Additional)'!L58</f>
        <v>296540.93513633014</v>
      </c>
      <c r="N69" s="479">
        <f>N67+'EYSFF (Additional)'!M58</f>
        <v>385503.21567722916</v>
      </c>
      <c r="O69" s="480"/>
      <c r="P69" s="481"/>
      <c r="Q69" s="478"/>
      <c r="R69" s="479">
        <f>R67+'EYSFF (Additional)'!Q58</f>
        <v>109830.20546449938</v>
      </c>
      <c r="S69" s="482"/>
      <c r="T69" s="483">
        <f>T67+'EYSFF (Additional)'!S58</f>
        <v>561358.0478689468</v>
      </c>
      <c r="U69" s="484"/>
      <c r="V69" s="485"/>
      <c r="W69" s="486">
        <f>W67+'EYSFF (Additional)'!V58</f>
        <v>1895865</v>
      </c>
      <c r="X69" s="485"/>
      <c r="Y69" s="487">
        <f>Y67+'EYSFF (Additional)'!X58</f>
        <v>94793.25</v>
      </c>
      <c r="Z69" s="488"/>
      <c r="AA69" s="485"/>
      <c r="AB69" s="489"/>
      <c r="AC69" s="480">
        <f>AC67+'EYSFF (Additional)'!AB58</f>
        <v>11757083.493546177</v>
      </c>
      <c r="AD69" s="490"/>
      <c r="AE69" s="491"/>
      <c r="AF69" s="492"/>
    </row>
    <row r="71" spans="1:32" x14ac:dyDescent="0.25">
      <c r="H71">
        <f>11*15*38</f>
        <v>6270</v>
      </c>
      <c r="I71">
        <v>5.65</v>
      </c>
      <c r="J71" s="293">
        <f>H71*I71</f>
        <v>35425.5</v>
      </c>
      <c r="M71">
        <f>L71*H71</f>
        <v>0</v>
      </c>
      <c r="N71" s="453">
        <f>M71*M8</f>
        <v>0</v>
      </c>
      <c r="AB71" s="60" t="s">
        <v>373</v>
      </c>
      <c r="AC71" s="493">
        <v>189003.86950918473</v>
      </c>
    </row>
  </sheetData>
  <mergeCells count="6">
    <mergeCell ref="W6:Y6"/>
    <mergeCell ref="AB6:AC6"/>
    <mergeCell ref="E6:H6"/>
    <mergeCell ref="I6:J6"/>
    <mergeCell ref="L6:O6"/>
    <mergeCell ref="Q6:U6"/>
  </mergeCells>
  <phoneticPr fontId="2" type="noConversion"/>
  <pageMargins left="0.59055118110236227" right="0.39370078740157483" top="0.98425196850393704" bottom="0.98425196850393704" header="0.51181102362204722" footer="0.51181102362204722"/>
  <pageSetup paperSize="8" scale="65" fitToHeight="2" orientation="landscape" r:id="rId1"/>
  <headerFooter alignWithMargins="0">
    <oddFooter>&amp;L&amp;D&amp;C&amp;F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C61"/>
  <sheetViews>
    <sheetView zoomScale="90" zoomScaleNormal="90" workbookViewId="0">
      <pane xSplit="3" ySplit="8" topLeftCell="D9" activePane="bottomRight" state="frozen"/>
      <selection pane="topRight" activeCell="E1" sqref="E1"/>
      <selection pane="bottomLeft" activeCell="A9" sqref="A9"/>
      <selection pane="bottomRight" activeCell="W11" sqref="W11"/>
    </sheetView>
  </sheetViews>
  <sheetFormatPr defaultRowHeight="12.5" x14ac:dyDescent="0.25"/>
  <cols>
    <col min="2" max="2" width="43.54296875" bestFit="1" customWidth="1"/>
    <col min="3" max="3" width="9.453125" customWidth="1"/>
    <col min="4" max="4" width="11.7265625" customWidth="1"/>
    <col min="5" max="5" width="11.26953125" customWidth="1"/>
    <col min="6" max="6" width="10.54296875" customWidth="1"/>
    <col min="7" max="7" width="8.54296875" bestFit="1" customWidth="1"/>
    <col min="9" max="9" width="14" bestFit="1" customWidth="1"/>
    <col min="10" max="10" width="4" customWidth="1"/>
    <col min="12" max="12" width="11.453125" customWidth="1"/>
    <col min="13" max="13" width="13" bestFit="1" customWidth="1"/>
    <col min="15" max="15" width="2.453125" customWidth="1"/>
    <col min="19" max="19" width="12" bestFit="1" customWidth="1"/>
    <col min="21" max="21" width="4.26953125" customWidth="1"/>
    <col min="24" max="24" width="10.453125" bestFit="1" customWidth="1"/>
    <col min="25" max="25" width="10.54296875" style="4" customWidth="1"/>
    <col min="26" max="26" width="3.26953125" customWidth="1"/>
    <col min="28" max="28" width="12.7265625" bestFit="1" customWidth="1"/>
  </cols>
  <sheetData>
    <row r="1" spans="1:29" ht="20.149999999999999" customHeight="1" x14ac:dyDescent="0.45">
      <c r="A1" s="328" t="s">
        <v>374</v>
      </c>
      <c r="E1" s="71"/>
      <c r="F1" s="70"/>
      <c r="G1" s="71"/>
      <c r="L1" s="292"/>
    </row>
    <row r="2" spans="1:29" ht="21" x14ac:dyDescent="0.5">
      <c r="B2" s="426" t="s">
        <v>285</v>
      </c>
      <c r="E2" s="329" t="s">
        <v>284</v>
      </c>
      <c r="F2" s="331"/>
      <c r="G2" s="332"/>
      <c r="H2" s="71"/>
      <c r="I2" s="333"/>
      <c r="J2" s="333"/>
      <c r="K2" s="333"/>
      <c r="L2" s="334"/>
      <c r="M2" s="293">
        <v>171733.49125918464</v>
      </c>
      <c r="N2" s="333"/>
      <c r="O2" s="333"/>
      <c r="P2" s="333"/>
      <c r="Q2" s="333"/>
      <c r="R2" s="335"/>
      <c r="S2" s="333"/>
      <c r="T2" s="335"/>
      <c r="U2" s="333"/>
      <c r="V2" s="333"/>
      <c r="W2" s="333"/>
      <c r="X2" s="333"/>
      <c r="Y2" s="336"/>
      <c r="Z2" s="333"/>
      <c r="AA2" s="337"/>
      <c r="AB2" s="337"/>
    </row>
    <row r="3" spans="1:29" ht="14.5" x14ac:dyDescent="0.35">
      <c r="B3" s="310"/>
      <c r="F3" s="338"/>
      <c r="G3" s="319"/>
      <c r="H3" s="71"/>
      <c r="I3" s="337"/>
      <c r="J3" s="333"/>
      <c r="K3" s="333"/>
      <c r="L3" s="334"/>
      <c r="M3" s="337">
        <v>70146.763896522287</v>
      </c>
      <c r="N3" s="333"/>
      <c r="O3" s="333"/>
      <c r="P3" s="333"/>
      <c r="Q3" s="333"/>
      <c r="R3" s="335"/>
      <c r="S3" s="337"/>
      <c r="T3" s="335"/>
      <c r="U3" s="333"/>
      <c r="V3" s="333"/>
      <c r="W3" s="333"/>
      <c r="X3" s="337"/>
      <c r="Y3" s="336"/>
      <c r="Z3" s="333"/>
      <c r="AA3" s="337"/>
      <c r="AB3" s="337"/>
    </row>
    <row r="4" spans="1:29" ht="15" thickBot="1" x14ac:dyDescent="0.4">
      <c r="B4" s="339"/>
      <c r="D4" s="340"/>
      <c r="F4" s="70"/>
      <c r="G4" s="71"/>
      <c r="J4" s="339"/>
      <c r="K4" s="339"/>
      <c r="L4" s="341"/>
      <c r="M4" s="342"/>
      <c r="N4" s="339"/>
      <c r="O4" s="339"/>
      <c r="P4" s="339"/>
      <c r="Q4" s="339"/>
      <c r="R4" s="343"/>
      <c r="S4" s="342"/>
      <c r="T4" s="343"/>
      <c r="Y4" s="344"/>
      <c r="AA4" s="71"/>
      <c r="AB4" s="345"/>
    </row>
    <row r="5" spans="1:29" ht="15" thickBot="1" x14ac:dyDescent="0.4">
      <c r="B5" t="s">
        <v>287</v>
      </c>
      <c r="D5" s="71"/>
      <c r="E5" s="72"/>
      <c r="F5" s="70"/>
      <c r="G5" s="71"/>
      <c r="H5" s="71"/>
      <c r="I5" s="448">
        <v>0.9</v>
      </c>
      <c r="K5" s="333"/>
      <c r="L5" s="292"/>
      <c r="M5" s="381">
        <v>4.8000000000000001E-2</v>
      </c>
      <c r="R5" s="347"/>
      <c r="S5" s="381">
        <v>4.7E-2</v>
      </c>
      <c r="T5" s="347"/>
      <c r="X5" s="381">
        <v>5.0000000000000001E-3</v>
      </c>
      <c r="AA5" s="71"/>
      <c r="AB5" s="348"/>
    </row>
    <row r="6" spans="1:29" ht="13.5" x14ac:dyDescent="0.35">
      <c r="B6" s="73"/>
      <c r="C6" s="405"/>
      <c r="D6" s="588" t="s">
        <v>288</v>
      </c>
      <c r="E6" s="589"/>
      <c r="F6" s="589"/>
      <c r="G6" s="590"/>
      <c r="H6" s="591" t="s">
        <v>289</v>
      </c>
      <c r="I6" s="592"/>
      <c r="K6" s="593" t="s">
        <v>290</v>
      </c>
      <c r="L6" s="594"/>
      <c r="M6" s="594"/>
      <c r="N6" s="595"/>
      <c r="P6" s="596" t="s">
        <v>291</v>
      </c>
      <c r="Q6" s="597"/>
      <c r="R6" s="597"/>
      <c r="S6" s="597"/>
      <c r="T6" s="598"/>
      <c r="V6" s="583" t="s">
        <v>292</v>
      </c>
      <c r="W6" s="584"/>
      <c r="X6" s="585"/>
      <c r="Y6" s="382"/>
      <c r="AA6" s="586" t="s">
        <v>293</v>
      </c>
      <c r="AB6" s="587"/>
    </row>
    <row r="7" spans="1:29" ht="15" thickBot="1" x14ac:dyDescent="0.4">
      <c r="B7" t="s">
        <v>294</v>
      </c>
      <c r="D7" s="409"/>
      <c r="E7" s="410"/>
      <c r="F7" s="411"/>
      <c r="G7" s="367">
        <f>G60</f>
        <v>368684</v>
      </c>
      <c r="H7" s="82"/>
      <c r="I7" s="412">
        <f>I60</f>
        <v>2083807.1680000008</v>
      </c>
      <c r="K7" s="373"/>
      <c r="L7" s="397"/>
      <c r="M7" s="367">
        <f>M60</f>
        <v>70146.763896522287</v>
      </c>
      <c r="N7" s="374"/>
      <c r="P7" s="383"/>
      <c r="Q7" s="62"/>
      <c r="R7" s="350"/>
      <c r="S7" s="367">
        <f>S60</f>
        <v>41621.1</v>
      </c>
      <c r="T7" s="434"/>
      <c r="V7" s="383"/>
      <c r="W7" s="75"/>
      <c r="X7" s="367">
        <f>X60</f>
        <v>18434.2</v>
      </c>
      <c r="Y7" s="384"/>
      <c r="AA7" s="368"/>
      <c r="AB7" s="369">
        <f>AB60</f>
        <v>2214004.0318965223</v>
      </c>
    </row>
    <row r="8" spans="1:29" ht="15" thickBot="1" x14ac:dyDescent="0.4">
      <c r="B8" t="s">
        <v>295</v>
      </c>
      <c r="C8" s="406"/>
      <c r="D8" s="413"/>
      <c r="E8" s="352"/>
      <c r="F8" s="352"/>
      <c r="G8" s="352"/>
      <c r="H8" s="428">
        <f>6.28*90%</f>
        <v>5.6520000000000001</v>
      </c>
      <c r="I8" s="414"/>
      <c r="K8" s="385"/>
      <c r="L8" s="428">
        <v>1.3</v>
      </c>
      <c r="N8" s="374"/>
      <c r="P8" s="385"/>
      <c r="Q8" s="83"/>
      <c r="R8" s="433">
        <v>5.0999999999999996</v>
      </c>
      <c r="S8" s="435"/>
      <c r="T8" s="436"/>
      <c r="V8" s="385"/>
      <c r="W8" s="432">
        <v>0.05</v>
      </c>
      <c r="X8" s="357"/>
      <c r="Y8" s="386"/>
      <c r="AA8" s="368"/>
      <c r="AB8" s="370"/>
    </row>
    <row r="9" spans="1:29" s="71" customFormat="1" ht="58" x14ac:dyDescent="0.35">
      <c r="A9" s="78" t="s">
        <v>296</v>
      </c>
      <c r="B9" s="358" t="s">
        <v>297</v>
      </c>
      <c r="C9" s="407" t="s">
        <v>298</v>
      </c>
      <c r="D9" s="415" t="s">
        <v>300</v>
      </c>
      <c r="E9" s="360" t="s">
        <v>301</v>
      </c>
      <c r="F9" s="360" t="s">
        <v>302</v>
      </c>
      <c r="G9" s="361" t="s">
        <v>303</v>
      </c>
      <c r="H9" s="427" t="s">
        <v>304</v>
      </c>
      <c r="I9" s="416" t="s">
        <v>289</v>
      </c>
      <c r="J9" s="78"/>
      <c r="K9" s="398" t="s">
        <v>305</v>
      </c>
      <c r="L9" s="429" t="s">
        <v>306</v>
      </c>
      <c r="M9" s="318" t="s">
        <v>307</v>
      </c>
      <c r="N9" s="372" t="s">
        <v>308</v>
      </c>
      <c r="O9" s="78"/>
      <c r="P9" s="437" t="s">
        <v>309</v>
      </c>
      <c r="Q9" s="77" t="s">
        <v>310</v>
      </c>
      <c r="R9" s="430" t="s">
        <v>311</v>
      </c>
      <c r="S9" s="77" t="s">
        <v>312</v>
      </c>
      <c r="T9" s="438" t="s">
        <v>313</v>
      </c>
      <c r="U9" s="78"/>
      <c r="V9" s="371" t="s">
        <v>303</v>
      </c>
      <c r="W9" s="431"/>
      <c r="X9" s="77" t="s">
        <v>314</v>
      </c>
      <c r="Y9" s="387" t="s">
        <v>315</v>
      </c>
      <c r="Z9" s="78"/>
      <c r="AA9" s="371" t="s">
        <v>316</v>
      </c>
      <c r="AB9" s="372" t="s">
        <v>317</v>
      </c>
    </row>
    <row r="10" spans="1:29" x14ac:dyDescent="0.25">
      <c r="D10" s="373"/>
      <c r="I10" s="374"/>
      <c r="K10" s="373"/>
      <c r="N10" s="374"/>
      <c r="P10" s="373"/>
      <c r="T10" s="374"/>
      <c r="V10" s="373"/>
      <c r="Y10" s="388"/>
      <c r="AA10" s="373"/>
      <c r="AB10" s="374"/>
    </row>
    <row r="11" spans="1:29" ht="14.5" x14ac:dyDescent="0.35">
      <c r="A11">
        <v>1000</v>
      </c>
      <c r="B11" s="301" t="s">
        <v>319</v>
      </c>
      <c r="C11" t="s">
        <v>320</v>
      </c>
      <c r="D11" s="417">
        <v>12000</v>
      </c>
      <c r="E11" s="302">
        <v>5184.5</v>
      </c>
      <c r="F11" s="302">
        <v>6705</v>
      </c>
      <c r="G11" s="94">
        <f t="shared" ref="G11:G56" si="0">SUM(D11:F11)</f>
        <v>23889.5</v>
      </c>
      <c r="H11" s="303">
        <f>$H$8</f>
        <v>5.6520000000000001</v>
      </c>
      <c r="I11" s="418">
        <f t="shared" ref="I11:I56" si="1">G11*H11</f>
        <v>135023.454</v>
      </c>
      <c r="K11" s="399">
        <v>0.18382758620689654</v>
      </c>
      <c r="L11" s="304">
        <f>G11*K11</f>
        <v>4391.549120689655</v>
      </c>
      <c r="M11" s="305">
        <f t="shared" ref="M11:M55" si="2">L11*$L$8</f>
        <v>5709.0138568965513</v>
      </c>
      <c r="N11" s="400">
        <f t="shared" ref="N11:N56" si="3">M11/G11</f>
        <v>0.23897586206896551</v>
      </c>
      <c r="P11" s="439">
        <v>2.4503256657597495E-2</v>
      </c>
      <c r="Q11" s="306">
        <v>1486</v>
      </c>
      <c r="R11" s="307">
        <f>$R$8</f>
        <v>5.0999999999999996</v>
      </c>
      <c r="S11" s="308">
        <f>Q11*R8</f>
        <v>7578.5999999999995</v>
      </c>
      <c r="T11" s="440">
        <f t="shared" ref="T11:T56" si="4">S11/G11</f>
        <v>0.31723560560078695</v>
      </c>
      <c r="V11" s="498">
        <f t="shared" ref="V11:V57" si="5">G11</f>
        <v>23889.5</v>
      </c>
      <c r="W11" s="496">
        <f t="shared" ref="W11:W56" si="6">$W$8</f>
        <v>0.05</v>
      </c>
      <c r="X11" s="497">
        <f t="shared" ref="X11:X56" si="7">V11*W11</f>
        <v>1194.4750000000001</v>
      </c>
      <c r="Y11" s="495">
        <f t="shared" ref="Y11:Y56" si="8">X11/V11</f>
        <v>0.05</v>
      </c>
      <c r="AA11" s="375">
        <f>H11+T11+N11+Y11</f>
        <v>6.258211467669752</v>
      </c>
      <c r="AB11" s="376">
        <f t="shared" ref="AB11:AB56" si="9">X11+S11+M11+I11</f>
        <v>149505.54285689656</v>
      </c>
      <c r="AC11" s="2"/>
    </row>
    <row r="12" spans="1:29" ht="14.5" x14ac:dyDescent="0.35">
      <c r="A12">
        <v>2001</v>
      </c>
      <c r="B12" s="301" t="s">
        <v>321</v>
      </c>
      <c r="C12" t="s">
        <v>320</v>
      </c>
      <c r="D12" s="417">
        <v>1950</v>
      </c>
      <c r="E12" s="302">
        <v>1755</v>
      </c>
      <c r="F12" s="302">
        <v>2114</v>
      </c>
      <c r="G12" s="94">
        <f t="shared" si="0"/>
        <v>5819</v>
      </c>
      <c r="H12" s="303">
        <f t="shared" ref="H12:H57" si="10">$H$8</f>
        <v>5.6520000000000001</v>
      </c>
      <c r="I12" s="418">
        <f t="shared" si="1"/>
        <v>32888.987999999998</v>
      </c>
      <c r="K12" s="399">
        <v>0.17699999999999999</v>
      </c>
      <c r="L12" s="304">
        <f t="shared" ref="L12:L56" si="11">G12*K12</f>
        <v>1029.963</v>
      </c>
      <c r="M12" s="305">
        <f t="shared" si="2"/>
        <v>1338.9519</v>
      </c>
      <c r="N12" s="400">
        <f t="shared" si="3"/>
        <v>0.2301</v>
      </c>
      <c r="P12" s="439">
        <v>6.0861423220973784E-3</v>
      </c>
      <c r="Q12" s="306">
        <v>195</v>
      </c>
      <c r="R12" s="307">
        <f t="shared" ref="R12:R56" si="12">$R$8</f>
        <v>5.0999999999999996</v>
      </c>
      <c r="S12" s="308">
        <f t="shared" ref="S12:S56" si="13">Q12*R12</f>
        <v>994.49999999999989</v>
      </c>
      <c r="T12" s="440">
        <f t="shared" si="4"/>
        <v>0.17090565389242135</v>
      </c>
      <c r="V12" s="498">
        <f t="shared" si="5"/>
        <v>5819</v>
      </c>
      <c r="W12" s="496">
        <f t="shared" si="6"/>
        <v>0.05</v>
      </c>
      <c r="X12" s="497">
        <f t="shared" si="7"/>
        <v>290.95</v>
      </c>
      <c r="Y12" s="495">
        <f t="shared" si="8"/>
        <v>4.9999999999999996E-2</v>
      </c>
      <c r="AA12" s="375">
        <f t="shared" ref="AA12:AA57" si="14">H12+T12+N12+Y12</f>
        <v>6.1030056538924216</v>
      </c>
      <c r="AB12" s="376">
        <f t="shared" si="9"/>
        <v>35513.389899999995</v>
      </c>
      <c r="AC12" s="2"/>
    </row>
    <row r="13" spans="1:29" ht="14.5" x14ac:dyDescent="0.35">
      <c r="A13">
        <v>3401</v>
      </c>
      <c r="B13" s="301" t="s">
        <v>322</v>
      </c>
      <c r="C13" t="s">
        <v>320</v>
      </c>
      <c r="D13" s="417"/>
      <c r="E13" s="302">
        <v>2340</v>
      </c>
      <c r="F13" s="302"/>
      <c r="G13" s="94">
        <f t="shared" si="0"/>
        <v>2340</v>
      </c>
      <c r="H13" s="303">
        <f t="shared" si="10"/>
        <v>5.6520000000000001</v>
      </c>
      <c r="I13" s="418">
        <f t="shared" si="1"/>
        <v>13225.68</v>
      </c>
      <c r="K13" s="399">
        <v>0.18536363636363637</v>
      </c>
      <c r="L13" s="304">
        <f t="shared" si="11"/>
        <v>433.75090909090909</v>
      </c>
      <c r="M13" s="305">
        <f t="shared" si="2"/>
        <v>563.87618181818186</v>
      </c>
      <c r="N13" s="400">
        <f t="shared" si="3"/>
        <v>0.24097272727272728</v>
      </c>
      <c r="P13" s="439">
        <v>4.3609527004360949E-3</v>
      </c>
      <c r="Q13" s="306">
        <v>194.99999999999997</v>
      </c>
      <c r="R13" s="307">
        <f t="shared" si="12"/>
        <v>5.0999999999999996</v>
      </c>
      <c r="S13" s="308">
        <f t="shared" si="13"/>
        <v>994.49999999999977</v>
      </c>
      <c r="T13" s="440">
        <f t="shared" si="4"/>
        <v>0.42499999999999988</v>
      </c>
      <c r="V13" s="498">
        <f t="shared" si="5"/>
        <v>2340</v>
      </c>
      <c r="W13" s="496">
        <f t="shared" si="6"/>
        <v>0.05</v>
      </c>
      <c r="X13" s="497">
        <f t="shared" si="7"/>
        <v>117</v>
      </c>
      <c r="Y13" s="495">
        <f t="shared" si="8"/>
        <v>0.05</v>
      </c>
      <c r="AA13" s="375">
        <f t="shared" si="14"/>
        <v>6.3679727272727273</v>
      </c>
      <c r="AB13" s="376">
        <f t="shared" si="9"/>
        <v>14901.056181818181</v>
      </c>
      <c r="AC13" s="2"/>
    </row>
    <row r="14" spans="1:29" ht="14.5" x14ac:dyDescent="0.35">
      <c r="A14">
        <v>2002</v>
      </c>
      <c r="B14" s="301" t="s">
        <v>323</v>
      </c>
      <c r="C14" t="s">
        <v>320</v>
      </c>
      <c r="D14" s="417">
        <v>1560</v>
      </c>
      <c r="E14" s="302">
        <v>1365</v>
      </c>
      <c r="F14" s="302">
        <v>1425</v>
      </c>
      <c r="G14" s="94">
        <f t="shared" si="0"/>
        <v>4350</v>
      </c>
      <c r="H14" s="303">
        <f t="shared" si="10"/>
        <v>5.6520000000000001</v>
      </c>
      <c r="I14" s="418">
        <f t="shared" si="1"/>
        <v>24586.2</v>
      </c>
      <c r="K14" s="399">
        <v>0.16600000000000001</v>
      </c>
      <c r="L14" s="304">
        <f t="shared" si="11"/>
        <v>722.1</v>
      </c>
      <c r="M14" s="305">
        <f t="shared" si="2"/>
        <v>938.73</v>
      </c>
      <c r="N14" s="400">
        <f t="shared" si="3"/>
        <v>0.21579999999999999</v>
      </c>
      <c r="P14" s="439">
        <v>0</v>
      </c>
      <c r="Q14" s="306">
        <v>0</v>
      </c>
      <c r="R14" s="307">
        <f t="shared" si="12"/>
        <v>5.0999999999999996</v>
      </c>
      <c r="S14" s="308">
        <f t="shared" si="13"/>
        <v>0</v>
      </c>
      <c r="T14" s="440">
        <f t="shared" si="4"/>
        <v>0</v>
      </c>
      <c r="V14" s="498">
        <f t="shared" si="5"/>
        <v>4350</v>
      </c>
      <c r="W14" s="496">
        <f t="shared" si="6"/>
        <v>0.05</v>
      </c>
      <c r="X14" s="497">
        <f t="shared" si="7"/>
        <v>217.5</v>
      </c>
      <c r="Y14" s="495">
        <f t="shared" si="8"/>
        <v>0.05</v>
      </c>
      <c r="AA14" s="375">
        <f t="shared" si="14"/>
        <v>5.9177999999999997</v>
      </c>
      <c r="AB14" s="376">
        <f t="shared" si="9"/>
        <v>25742.43</v>
      </c>
      <c r="AC14" s="2"/>
    </row>
    <row r="15" spans="1:29" ht="14.5" x14ac:dyDescent="0.35">
      <c r="A15">
        <v>3300</v>
      </c>
      <c r="B15" s="301" t="s">
        <v>324</v>
      </c>
      <c r="C15" t="s">
        <v>320</v>
      </c>
      <c r="D15" s="417">
        <v>3510</v>
      </c>
      <c r="E15" s="302">
        <v>1755</v>
      </c>
      <c r="F15" s="302">
        <v>3298.5</v>
      </c>
      <c r="G15" s="94">
        <f t="shared" si="0"/>
        <v>8563.5</v>
      </c>
      <c r="H15" s="303">
        <f t="shared" si="10"/>
        <v>5.6520000000000001</v>
      </c>
      <c r="I15" s="418">
        <f t="shared" si="1"/>
        <v>48400.902000000002</v>
      </c>
      <c r="K15" s="399">
        <v>9.2777777777777778E-2</v>
      </c>
      <c r="L15" s="304">
        <f t="shared" si="11"/>
        <v>794.50250000000005</v>
      </c>
      <c r="M15" s="305">
        <f t="shared" si="2"/>
        <v>1032.8532500000001</v>
      </c>
      <c r="N15" s="400">
        <f t="shared" si="3"/>
        <v>0.12061111111111113</v>
      </c>
      <c r="P15" s="439">
        <v>0</v>
      </c>
      <c r="Q15" s="306">
        <v>0</v>
      </c>
      <c r="R15" s="307">
        <f t="shared" si="12"/>
        <v>5.0999999999999996</v>
      </c>
      <c r="S15" s="308">
        <f t="shared" si="13"/>
        <v>0</v>
      </c>
      <c r="T15" s="440">
        <f t="shared" si="4"/>
        <v>0</v>
      </c>
      <c r="V15" s="498">
        <f t="shared" si="5"/>
        <v>8563.5</v>
      </c>
      <c r="W15" s="496">
        <f t="shared" si="6"/>
        <v>0.05</v>
      </c>
      <c r="X15" s="497">
        <f t="shared" si="7"/>
        <v>428.17500000000001</v>
      </c>
      <c r="Y15" s="495">
        <f t="shared" si="8"/>
        <v>0.05</v>
      </c>
      <c r="AA15" s="375">
        <f t="shared" si="14"/>
        <v>5.8226111111111107</v>
      </c>
      <c r="AB15" s="376">
        <f t="shared" si="9"/>
        <v>49861.930250000005</v>
      </c>
      <c r="AC15" s="2"/>
    </row>
    <row r="16" spans="1:29" ht="14.5" x14ac:dyDescent="0.35">
      <c r="A16">
        <v>5206</v>
      </c>
      <c r="B16" s="301" t="s">
        <v>325</v>
      </c>
      <c r="C16" t="s">
        <v>320</v>
      </c>
      <c r="D16" s="417">
        <v>4095</v>
      </c>
      <c r="E16" s="302">
        <v>2475</v>
      </c>
      <c r="F16" s="302">
        <v>3675</v>
      </c>
      <c r="G16" s="94">
        <f t="shared" si="0"/>
        <v>10245</v>
      </c>
      <c r="H16" s="303">
        <f t="shared" si="10"/>
        <v>5.6520000000000001</v>
      </c>
      <c r="I16" s="418">
        <f t="shared" si="1"/>
        <v>57904.74</v>
      </c>
      <c r="K16" s="399">
        <v>0.19300000000000003</v>
      </c>
      <c r="L16" s="304">
        <f t="shared" si="11"/>
        <v>1977.2850000000003</v>
      </c>
      <c r="M16" s="305">
        <f t="shared" si="2"/>
        <v>2570.4705000000004</v>
      </c>
      <c r="N16" s="400">
        <f t="shared" si="3"/>
        <v>0.25090000000000001</v>
      </c>
      <c r="P16" s="439">
        <v>0</v>
      </c>
      <c r="Q16" s="306">
        <v>0</v>
      </c>
      <c r="R16" s="307">
        <f t="shared" si="12"/>
        <v>5.0999999999999996</v>
      </c>
      <c r="S16" s="308">
        <f t="shared" si="13"/>
        <v>0</v>
      </c>
      <c r="T16" s="440">
        <f t="shared" si="4"/>
        <v>0</v>
      </c>
      <c r="V16" s="498">
        <f t="shared" si="5"/>
        <v>10245</v>
      </c>
      <c r="W16" s="496">
        <f t="shared" si="6"/>
        <v>0.05</v>
      </c>
      <c r="X16" s="497">
        <f t="shared" si="7"/>
        <v>512.25</v>
      </c>
      <c r="Y16" s="495">
        <f t="shared" si="8"/>
        <v>0.05</v>
      </c>
      <c r="AA16" s="375">
        <f t="shared" si="14"/>
        <v>5.9528999999999996</v>
      </c>
      <c r="AB16" s="376">
        <f t="shared" si="9"/>
        <v>60987.460500000001</v>
      </c>
      <c r="AC16" s="2"/>
    </row>
    <row r="17" spans="1:29" ht="14.5" x14ac:dyDescent="0.35">
      <c r="A17">
        <v>2084</v>
      </c>
      <c r="B17" s="301" t="s">
        <v>53</v>
      </c>
      <c r="C17" t="s">
        <v>320</v>
      </c>
      <c r="D17" s="417">
        <v>3765</v>
      </c>
      <c r="E17" s="302">
        <v>2700</v>
      </c>
      <c r="F17" s="302">
        <v>3482</v>
      </c>
      <c r="G17" s="94">
        <f t="shared" si="0"/>
        <v>9947</v>
      </c>
      <c r="H17" s="303">
        <f t="shared" si="10"/>
        <v>5.6520000000000001</v>
      </c>
      <c r="I17" s="418">
        <f t="shared" si="1"/>
        <v>56220.444000000003</v>
      </c>
      <c r="K17" s="399">
        <v>0.21042857142857144</v>
      </c>
      <c r="L17" s="304">
        <f t="shared" si="11"/>
        <v>2093.1330000000003</v>
      </c>
      <c r="M17" s="305">
        <f t="shared" si="2"/>
        <v>2721.0729000000006</v>
      </c>
      <c r="N17" s="400">
        <f t="shared" si="3"/>
        <v>0.27355714285714289</v>
      </c>
      <c r="P17" s="439">
        <v>0</v>
      </c>
      <c r="Q17" s="306">
        <v>0</v>
      </c>
      <c r="R17" s="307">
        <f t="shared" si="12"/>
        <v>5.0999999999999996</v>
      </c>
      <c r="S17" s="308">
        <f t="shared" si="13"/>
        <v>0</v>
      </c>
      <c r="T17" s="440">
        <f t="shared" si="4"/>
        <v>0</v>
      </c>
      <c r="V17" s="498">
        <f t="shared" si="5"/>
        <v>9947</v>
      </c>
      <c r="W17" s="496">
        <f t="shared" si="6"/>
        <v>0.05</v>
      </c>
      <c r="X17" s="497">
        <f t="shared" si="7"/>
        <v>497.35</v>
      </c>
      <c r="Y17" s="495">
        <f t="shared" si="8"/>
        <v>0.05</v>
      </c>
      <c r="AA17" s="375">
        <f t="shared" si="14"/>
        <v>5.9755571428571432</v>
      </c>
      <c r="AB17" s="376">
        <f t="shared" si="9"/>
        <v>59438.866900000001</v>
      </c>
      <c r="AC17" s="2"/>
    </row>
    <row r="18" spans="1:29" ht="14.5" x14ac:dyDescent="0.35">
      <c r="A18">
        <v>2010</v>
      </c>
      <c r="B18" s="301" t="s">
        <v>326</v>
      </c>
      <c r="C18" t="s">
        <v>320</v>
      </c>
      <c r="D18" s="417">
        <v>6435</v>
      </c>
      <c r="E18" s="302">
        <v>2340</v>
      </c>
      <c r="F18" s="302">
        <v>5520</v>
      </c>
      <c r="G18" s="94">
        <f t="shared" si="0"/>
        <v>14295</v>
      </c>
      <c r="H18" s="303">
        <f t="shared" si="10"/>
        <v>5.6520000000000001</v>
      </c>
      <c r="I18" s="418">
        <f t="shared" si="1"/>
        <v>80795.34</v>
      </c>
      <c r="K18" s="399">
        <v>0.17466666666666666</v>
      </c>
      <c r="L18" s="304">
        <f t="shared" si="11"/>
        <v>2496.86</v>
      </c>
      <c r="M18" s="305">
        <f t="shared" si="2"/>
        <v>3245.9180000000001</v>
      </c>
      <c r="N18" s="400">
        <f t="shared" si="3"/>
        <v>0.22706666666666667</v>
      </c>
      <c r="P18" s="439">
        <v>1.2545394519643446E-2</v>
      </c>
      <c r="Q18" s="306">
        <v>570</v>
      </c>
      <c r="R18" s="307">
        <f t="shared" si="12"/>
        <v>5.0999999999999996</v>
      </c>
      <c r="S18" s="308">
        <f t="shared" si="13"/>
        <v>2907</v>
      </c>
      <c r="T18" s="440">
        <f t="shared" si="4"/>
        <v>0.20335781741867787</v>
      </c>
      <c r="V18" s="498">
        <f t="shared" si="5"/>
        <v>14295</v>
      </c>
      <c r="W18" s="496">
        <f t="shared" si="6"/>
        <v>0.05</v>
      </c>
      <c r="X18" s="497">
        <f t="shared" si="7"/>
        <v>714.75</v>
      </c>
      <c r="Y18" s="495">
        <f t="shared" si="8"/>
        <v>0.05</v>
      </c>
      <c r="AA18" s="375">
        <f t="shared" si="14"/>
        <v>6.1324244840853446</v>
      </c>
      <c r="AB18" s="376">
        <f t="shared" si="9"/>
        <v>87663.008000000002</v>
      </c>
      <c r="AC18" s="2"/>
    </row>
    <row r="19" spans="1:29" ht="14.5" x14ac:dyDescent="0.35">
      <c r="A19">
        <v>2012</v>
      </c>
      <c r="B19" s="301" t="s">
        <v>327</v>
      </c>
      <c r="C19" t="s">
        <v>320</v>
      </c>
      <c r="D19" s="417">
        <v>3315</v>
      </c>
      <c r="E19" s="302">
        <v>2100</v>
      </c>
      <c r="F19" s="302">
        <v>2966</v>
      </c>
      <c r="G19" s="94">
        <f t="shared" si="0"/>
        <v>8381</v>
      </c>
      <c r="H19" s="303">
        <f t="shared" si="10"/>
        <v>5.6520000000000001</v>
      </c>
      <c r="I19" s="418">
        <f t="shared" si="1"/>
        <v>47369.412000000004</v>
      </c>
      <c r="K19" s="399">
        <v>0.12754545454545455</v>
      </c>
      <c r="L19" s="304">
        <f t="shared" si="11"/>
        <v>1068.9584545454545</v>
      </c>
      <c r="M19" s="305">
        <f t="shared" si="2"/>
        <v>1389.6459909090909</v>
      </c>
      <c r="N19" s="400">
        <f t="shared" si="3"/>
        <v>0.16580909090909091</v>
      </c>
      <c r="P19" s="439">
        <v>0</v>
      </c>
      <c r="Q19" s="306">
        <v>0</v>
      </c>
      <c r="R19" s="307">
        <f t="shared" si="12"/>
        <v>5.0999999999999996</v>
      </c>
      <c r="S19" s="308">
        <f t="shared" si="13"/>
        <v>0</v>
      </c>
      <c r="T19" s="440">
        <f t="shared" si="4"/>
        <v>0</v>
      </c>
      <c r="V19" s="498">
        <f t="shared" si="5"/>
        <v>8381</v>
      </c>
      <c r="W19" s="496">
        <f t="shared" si="6"/>
        <v>0.05</v>
      </c>
      <c r="X19" s="497">
        <f t="shared" si="7"/>
        <v>419.05</v>
      </c>
      <c r="Y19" s="495">
        <f t="shared" si="8"/>
        <v>0.05</v>
      </c>
      <c r="AA19" s="375">
        <f t="shared" si="14"/>
        <v>5.8678090909090912</v>
      </c>
      <c r="AB19" s="376">
        <f t="shared" si="9"/>
        <v>49178.107990909091</v>
      </c>
      <c r="AC19" s="2"/>
    </row>
    <row r="20" spans="1:29" ht="14.5" x14ac:dyDescent="0.35">
      <c r="A20">
        <v>3410</v>
      </c>
      <c r="B20" s="301" t="s">
        <v>328</v>
      </c>
      <c r="C20" t="s">
        <v>320</v>
      </c>
      <c r="D20" s="417">
        <v>2475</v>
      </c>
      <c r="E20" s="302">
        <v>2340</v>
      </c>
      <c r="F20" s="302">
        <v>1980</v>
      </c>
      <c r="G20" s="94">
        <f t="shared" si="0"/>
        <v>6795</v>
      </c>
      <c r="H20" s="303">
        <f t="shared" si="10"/>
        <v>5.6520000000000001</v>
      </c>
      <c r="I20" s="418">
        <f t="shared" si="1"/>
        <v>38405.340000000004</v>
      </c>
      <c r="K20" s="399">
        <v>0.18174999999999999</v>
      </c>
      <c r="L20" s="304">
        <f t="shared" si="11"/>
        <v>1234.99125</v>
      </c>
      <c r="M20" s="305">
        <f t="shared" si="2"/>
        <v>1605.4886250000002</v>
      </c>
      <c r="N20" s="400">
        <f t="shared" si="3"/>
        <v>0.23627500000000004</v>
      </c>
      <c r="P20" s="439">
        <v>0</v>
      </c>
      <c r="Q20" s="306">
        <v>0</v>
      </c>
      <c r="R20" s="307">
        <f t="shared" si="12"/>
        <v>5.0999999999999996</v>
      </c>
      <c r="S20" s="308">
        <f t="shared" si="13"/>
        <v>0</v>
      </c>
      <c r="T20" s="440">
        <f t="shared" si="4"/>
        <v>0</v>
      </c>
      <c r="V20" s="498">
        <f t="shared" si="5"/>
        <v>6795</v>
      </c>
      <c r="W20" s="496">
        <f t="shared" si="6"/>
        <v>0.05</v>
      </c>
      <c r="X20" s="497">
        <f t="shared" si="7"/>
        <v>339.75</v>
      </c>
      <c r="Y20" s="495">
        <f t="shared" si="8"/>
        <v>0.05</v>
      </c>
      <c r="AA20" s="375">
        <f t="shared" si="14"/>
        <v>5.938275</v>
      </c>
      <c r="AB20" s="376">
        <f t="shared" si="9"/>
        <v>40350.578625000002</v>
      </c>
      <c r="AC20" s="2"/>
    </row>
    <row r="21" spans="1:29" ht="14.5" x14ac:dyDescent="0.35">
      <c r="A21">
        <v>2078</v>
      </c>
      <c r="B21" s="80" t="s">
        <v>329</v>
      </c>
      <c r="C21" t="s">
        <v>320</v>
      </c>
      <c r="D21" s="417">
        <v>2340</v>
      </c>
      <c r="E21" s="302">
        <v>1560</v>
      </c>
      <c r="F21" s="302">
        <v>2224</v>
      </c>
      <c r="G21" s="94">
        <f t="shared" si="0"/>
        <v>6124</v>
      </c>
      <c r="H21" s="303">
        <f t="shared" si="10"/>
        <v>5.6520000000000001</v>
      </c>
      <c r="I21" s="418">
        <f t="shared" si="1"/>
        <v>34612.847999999998</v>
      </c>
      <c r="K21" s="399">
        <v>0.19187500000000002</v>
      </c>
      <c r="L21" s="304">
        <f t="shared" si="11"/>
        <v>1175.0425</v>
      </c>
      <c r="M21" s="305">
        <f t="shared" si="2"/>
        <v>1527.5552500000001</v>
      </c>
      <c r="N21" s="400">
        <f t="shared" si="3"/>
        <v>0.24943750000000001</v>
      </c>
      <c r="P21" s="439">
        <v>0</v>
      </c>
      <c r="Q21" s="306">
        <v>0</v>
      </c>
      <c r="R21" s="307">
        <f t="shared" si="12"/>
        <v>5.0999999999999996</v>
      </c>
      <c r="S21" s="308">
        <f t="shared" si="13"/>
        <v>0</v>
      </c>
      <c r="T21" s="440">
        <f t="shared" si="4"/>
        <v>0</v>
      </c>
      <c r="V21" s="498">
        <f t="shared" si="5"/>
        <v>6124</v>
      </c>
      <c r="W21" s="496">
        <f t="shared" si="6"/>
        <v>0.05</v>
      </c>
      <c r="X21" s="497">
        <f t="shared" si="7"/>
        <v>306.2</v>
      </c>
      <c r="Y21" s="495">
        <f t="shared" si="8"/>
        <v>4.9999999999999996E-2</v>
      </c>
      <c r="AA21" s="375">
        <f t="shared" si="14"/>
        <v>5.9514374999999999</v>
      </c>
      <c r="AB21" s="376">
        <f t="shared" si="9"/>
        <v>36446.60325</v>
      </c>
    </row>
    <row r="22" spans="1:29" ht="14.5" x14ac:dyDescent="0.35">
      <c r="A22">
        <v>2016</v>
      </c>
      <c r="B22" s="80" t="s">
        <v>330</v>
      </c>
      <c r="C22" t="s">
        <v>320</v>
      </c>
      <c r="D22" s="417">
        <v>8970</v>
      </c>
      <c r="E22" s="302">
        <v>5226</v>
      </c>
      <c r="F22" s="302">
        <v>8374</v>
      </c>
      <c r="G22" s="94">
        <f t="shared" si="0"/>
        <v>22570</v>
      </c>
      <c r="H22" s="303">
        <f t="shared" si="10"/>
        <v>5.6520000000000001</v>
      </c>
      <c r="I22" s="418">
        <f t="shared" si="1"/>
        <v>127565.64</v>
      </c>
      <c r="K22" s="399">
        <v>0.13348148148148148</v>
      </c>
      <c r="L22" s="304">
        <f t="shared" si="11"/>
        <v>3012.6770370370368</v>
      </c>
      <c r="M22" s="305">
        <f t="shared" si="2"/>
        <v>3916.4801481481481</v>
      </c>
      <c r="N22" s="400">
        <f t="shared" si="3"/>
        <v>0.17352592592592592</v>
      </c>
      <c r="P22" s="439">
        <v>0</v>
      </c>
      <c r="Q22" s="306">
        <v>0</v>
      </c>
      <c r="R22" s="307">
        <f t="shared" si="12"/>
        <v>5.0999999999999996</v>
      </c>
      <c r="S22" s="308">
        <f t="shared" si="13"/>
        <v>0</v>
      </c>
      <c r="T22" s="440">
        <f t="shared" si="4"/>
        <v>0</v>
      </c>
      <c r="V22" s="498">
        <f t="shared" si="5"/>
        <v>22570</v>
      </c>
      <c r="W22" s="496">
        <f t="shared" si="6"/>
        <v>0.05</v>
      </c>
      <c r="X22" s="497">
        <f t="shared" si="7"/>
        <v>1128.5</v>
      </c>
      <c r="Y22" s="495">
        <f t="shared" si="8"/>
        <v>0.05</v>
      </c>
      <c r="AA22" s="375">
        <f t="shared" si="14"/>
        <v>5.8755259259259258</v>
      </c>
      <c r="AB22" s="376">
        <f t="shared" si="9"/>
        <v>132610.62014814815</v>
      </c>
    </row>
    <row r="23" spans="1:29" ht="14.5" x14ac:dyDescent="0.35">
      <c r="A23">
        <v>3307</v>
      </c>
      <c r="B23" s="80" t="s">
        <v>331</v>
      </c>
      <c r="C23" t="s">
        <v>320</v>
      </c>
      <c r="D23" s="417">
        <v>1950</v>
      </c>
      <c r="E23" s="302">
        <v>2340</v>
      </c>
      <c r="F23" s="302">
        <v>1864</v>
      </c>
      <c r="G23" s="94">
        <f t="shared" si="0"/>
        <v>6154</v>
      </c>
      <c r="H23" s="303">
        <f t="shared" si="10"/>
        <v>5.6520000000000001</v>
      </c>
      <c r="I23" s="418">
        <f t="shared" si="1"/>
        <v>34782.408000000003</v>
      </c>
      <c r="K23" s="399">
        <v>0.21074999999999999</v>
      </c>
      <c r="L23" s="304">
        <f t="shared" si="11"/>
        <v>1296.9555</v>
      </c>
      <c r="M23" s="305">
        <f t="shared" si="2"/>
        <v>1686.04215</v>
      </c>
      <c r="N23" s="400">
        <f t="shared" si="3"/>
        <v>0.27397500000000002</v>
      </c>
      <c r="P23" s="439">
        <v>4.6165301563663441E-2</v>
      </c>
      <c r="Q23" s="306">
        <v>930</v>
      </c>
      <c r="R23" s="307">
        <f t="shared" si="12"/>
        <v>5.0999999999999996</v>
      </c>
      <c r="S23" s="308">
        <f t="shared" si="13"/>
        <v>4743</v>
      </c>
      <c r="T23" s="440">
        <f t="shared" si="4"/>
        <v>0.77071823204419887</v>
      </c>
      <c r="V23" s="498">
        <f t="shared" si="5"/>
        <v>6154</v>
      </c>
      <c r="W23" s="496">
        <f t="shared" si="6"/>
        <v>0.05</v>
      </c>
      <c r="X23" s="497">
        <f t="shared" si="7"/>
        <v>307.70000000000005</v>
      </c>
      <c r="Y23" s="495">
        <f t="shared" si="8"/>
        <v>5.000000000000001E-2</v>
      </c>
      <c r="AA23" s="375">
        <f t="shared" si="14"/>
        <v>6.7466932320441986</v>
      </c>
      <c r="AB23" s="376">
        <f t="shared" si="9"/>
        <v>41519.150150000001</v>
      </c>
    </row>
    <row r="24" spans="1:29" ht="14.5" x14ac:dyDescent="0.35">
      <c r="A24">
        <v>2019</v>
      </c>
      <c r="B24" s="80" t="s">
        <v>332</v>
      </c>
      <c r="C24" t="s">
        <v>320</v>
      </c>
      <c r="D24" s="417">
        <v>7020</v>
      </c>
      <c r="E24" s="302">
        <v>6240</v>
      </c>
      <c r="F24" s="302">
        <v>6433</v>
      </c>
      <c r="G24" s="94">
        <f t="shared" si="0"/>
        <v>19693</v>
      </c>
      <c r="H24" s="303">
        <f t="shared" si="10"/>
        <v>5.6520000000000001</v>
      </c>
      <c r="I24" s="418">
        <f t="shared" si="1"/>
        <v>111304.836</v>
      </c>
      <c r="K24" s="399">
        <v>0.12006451612903223</v>
      </c>
      <c r="L24" s="304">
        <f t="shared" si="11"/>
        <v>2364.4305161290317</v>
      </c>
      <c r="M24" s="305">
        <f t="shared" si="2"/>
        <v>3073.7596709677414</v>
      </c>
      <c r="N24" s="400">
        <f t="shared" si="3"/>
        <v>0.1560838709677419</v>
      </c>
      <c r="P24" s="439">
        <v>0</v>
      </c>
      <c r="Q24" s="306">
        <v>0</v>
      </c>
      <c r="R24" s="307">
        <f t="shared" si="12"/>
        <v>5.0999999999999996</v>
      </c>
      <c r="S24" s="308">
        <f t="shared" si="13"/>
        <v>0</v>
      </c>
      <c r="T24" s="440">
        <f t="shared" si="4"/>
        <v>0</v>
      </c>
      <c r="V24" s="498">
        <f t="shared" si="5"/>
        <v>19693</v>
      </c>
      <c r="W24" s="496">
        <f t="shared" si="6"/>
        <v>0.05</v>
      </c>
      <c r="X24" s="497">
        <f t="shared" si="7"/>
        <v>984.65000000000009</v>
      </c>
      <c r="Y24" s="495">
        <f t="shared" si="8"/>
        <v>0.05</v>
      </c>
      <c r="AA24" s="375">
        <f t="shared" si="14"/>
        <v>5.8580838709677421</v>
      </c>
      <c r="AB24" s="376">
        <f t="shared" si="9"/>
        <v>115363.24567096774</v>
      </c>
    </row>
    <row r="25" spans="1:29" ht="14.5" x14ac:dyDescent="0.35">
      <c r="A25">
        <v>2076</v>
      </c>
      <c r="B25" s="80" t="s">
        <v>333</v>
      </c>
      <c r="C25" t="s">
        <v>320</v>
      </c>
      <c r="D25" s="417">
        <v>2145</v>
      </c>
      <c r="E25" s="302">
        <v>1170</v>
      </c>
      <c r="F25" s="302">
        <v>2295.5</v>
      </c>
      <c r="G25" s="94">
        <f t="shared" si="0"/>
        <v>5610.5</v>
      </c>
      <c r="H25" s="303">
        <f t="shared" si="10"/>
        <v>5.6520000000000001</v>
      </c>
      <c r="I25" s="418">
        <f t="shared" si="1"/>
        <v>31710.546000000002</v>
      </c>
      <c r="K25" s="399">
        <v>0.13100000000000001</v>
      </c>
      <c r="L25" s="304">
        <f t="shared" si="11"/>
        <v>734.97550000000001</v>
      </c>
      <c r="M25" s="305">
        <f t="shared" si="2"/>
        <v>955.46815000000004</v>
      </c>
      <c r="N25" s="400">
        <f t="shared" si="3"/>
        <v>0.17030000000000001</v>
      </c>
      <c r="P25" s="439">
        <v>0</v>
      </c>
      <c r="Q25" s="306">
        <v>0</v>
      </c>
      <c r="R25" s="307">
        <f t="shared" si="12"/>
        <v>5.0999999999999996</v>
      </c>
      <c r="S25" s="308">
        <f t="shared" si="13"/>
        <v>0</v>
      </c>
      <c r="T25" s="440">
        <f t="shared" si="4"/>
        <v>0</v>
      </c>
      <c r="V25" s="498">
        <f t="shared" si="5"/>
        <v>5610.5</v>
      </c>
      <c r="W25" s="496">
        <f t="shared" si="6"/>
        <v>0.05</v>
      </c>
      <c r="X25" s="497">
        <f t="shared" si="7"/>
        <v>280.52500000000003</v>
      </c>
      <c r="Y25" s="495">
        <f t="shared" si="8"/>
        <v>0.05</v>
      </c>
      <c r="AA25" s="375">
        <f t="shared" si="14"/>
        <v>5.8723000000000001</v>
      </c>
      <c r="AB25" s="376">
        <f t="shared" si="9"/>
        <v>32946.539150000004</v>
      </c>
    </row>
    <row r="26" spans="1:29" ht="14.5" x14ac:dyDescent="0.35">
      <c r="A26">
        <v>2020</v>
      </c>
      <c r="B26" s="80" t="s">
        <v>334</v>
      </c>
      <c r="C26" t="s">
        <v>320</v>
      </c>
      <c r="D26" s="417">
        <v>4818</v>
      </c>
      <c r="E26" s="302">
        <v>3057.5</v>
      </c>
      <c r="F26" s="302">
        <v>4491</v>
      </c>
      <c r="G26" s="94">
        <f t="shared" si="0"/>
        <v>12366.5</v>
      </c>
      <c r="H26" s="303">
        <f t="shared" si="10"/>
        <v>5.6520000000000001</v>
      </c>
      <c r="I26" s="418">
        <f t="shared" si="1"/>
        <v>69895.457999999999</v>
      </c>
      <c r="K26" s="399">
        <v>6.7176470588235296E-2</v>
      </c>
      <c r="L26" s="304">
        <f t="shared" si="11"/>
        <v>830.7378235294118</v>
      </c>
      <c r="M26" s="305">
        <f t="shared" si="2"/>
        <v>1079.9591705882353</v>
      </c>
      <c r="N26" s="400">
        <f t="shared" si="3"/>
        <v>8.7329411764705892E-2</v>
      </c>
      <c r="P26" s="439">
        <v>0</v>
      </c>
      <c r="Q26" s="306">
        <v>0</v>
      </c>
      <c r="R26" s="307">
        <f t="shared" si="12"/>
        <v>5.0999999999999996</v>
      </c>
      <c r="S26" s="308">
        <f t="shared" si="13"/>
        <v>0</v>
      </c>
      <c r="T26" s="440">
        <f t="shared" si="4"/>
        <v>0</v>
      </c>
      <c r="V26" s="498">
        <f t="shared" si="5"/>
        <v>12366.5</v>
      </c>
      <c r="W26" s="496">
        <f t="shared" si="6"/>
        <v>0.05</v>
      </c>
      <c r="X26" s="497">
        <f t="shared" si="7"/>
        <v>618.32500000000005</v>
      </c>
      <c r="Y26" s="495">
        <f t="shared" si="8"/>
        <v>0.05</v>
      </c>
      <c r="AA26" s="375">
        <f t="shared" si="14"/>
        <v>5.7893294117647063</v>
      </c>
      <c r="AB26" s="376">
        <f t="shared" si="9"/>
        <v>71593.74217058823</v>
      </c>
    </row>
    <row r="27" spans="1:29" ht="14.5" x14ac:dyDescent="0.35">
      <c r="A27">
        <v>2024</v>
      </c>
      <c r="B27" s="80" t="s">
        <v>336</v>
      </c>
      <c r="C27" t="s">
        <v>320</v>
      </c>
      <c r="D27" s="417">
        <v>3120</v>
      </c>
      <c r="E27" s="302">
        <v>1950</v>
      </c>
      <c r="F27" s="302">
        <v>2642</v>
      </c>
      <c r="G27" s="94">
        <f t="shared" si="0"/>
        <v>7712</v>
      </c>
      <c r="H27" s="303">
        <f t="shared" si="10"/>
        <v>5.6520000000000001</v>
      </c>
      <c r="I27" s="418">
        <f t="shared" si="1"/>
        <v>43588.224000000002</v>
      </c>
      <c r="K27" s="399">
        <v>0.16520000000000004</v>
      </c>
      <c r="L27" s="304">
        <f t="shared" si="11"/>
        <v>1274.0224000000003</v>
      </c>
      <c r="M27" s="305">
        <f t="shared" si="2"/>
        <v>1656.2291200000004</v>
      </c>
      <c r="N27" s="400">
        <f t="shared" si="3"/>
        <v>0.21476000000000006</v>
      </c>
      <c r="P27" s="439">
        <v>0</v>
      </c>
      <c r="Q27" s="306">
        <v>0</v>
      </c>
      <c r="R27" s="307">
        <f t="shared" si="12"/>
        <v>5.0999999999999996</v>
      </c>
      <c r="S27" s="308">
        <f t="shared" si="13"/>
        <v>0</v>
      </c>
      <c r="T27" s="440">
        <f t="shared" si="4"/>
        <v>0</v>
      </c>
      <c r="V27" s="498">
        <f t="shared" si="5"/>
        <v>7712</v>
      </c>
      <c r="W27" s="496">
        <f t="shared" si="6"/>
        <v>0.05</v>
      </c>
      <c r="X27" s="497">
        <f t="shared" si="7"/>
        <v>385.6</v>
      </c>
      <c r="Y27" s="495">
        <f t="shared" si="8"/>
        <v>0.05</v>
      </c>
      <c r="AA27" s="375">
        <f t="shared" si="14"/>
        <v>5.91676</v>
      </c>
      <c r="AB27" s="376">
        <f t="shared" si="9"/>
        <v>45630.053120000004</v>
      </c>
    </row>
    <row r="28" spans="1:29" ht="14.5" x14ac:dyDescent="0.35">
      <c r="A28">
        <v>2026</v>
      </c>
      <c r="B28" s="80" t="s">
        <v>338</v>
      </c>
      <c r="C28" t="s">
        <v>320</v>
      </c>
      <c r="D28" s="417">
        <v>1170</v>
      </c>
      <c r="E28" s="302">
        <v>975</v>
      </c>
      <c r="F28" s="302">
        <v>1260</v>
      </c>
      <c r="G28" s="94">
        <f t="shared" si="0"/>
        <v>3405</v>
      </c>
      <c r="H28" s="303">
        <f t="shared" si="10"/>
        <v>5.6520000000000001</v>
      </c>
      <c r="I28" s="418">
        <f t="shared" si="1"/>
        <v>19245.060000000001</v>
      </c>
      <c r="K28" s="399">
        <v>0.20019999999999999</v>
      </c>
      <c r="L28" s="304">
        <f t="shared" si="11"/>
        <v>681.68099999999993</v>
      </c>
      <c r="M28" s="305">
        <f t="shared" si="2"/>
        <v>886.18529999999998</v>
      </c>
      <c r="N28" s="400">
        <f t="shared" si="3"/>
        <v>0.26025999999999999</v>
      </c>
      <c r="P28" s="439">
        <v>0</v>
      </c>
      <c r="Q28" s="306">
        <v>0</v>
      </c>
      <c r="R28" s="307">
        <f t="shared" si="12"/>
        <v>5.0999999999999996</v>
      </c>
      <c r="S28" s="308">
        <f t="shared" si="13"/>
        <v>0</v>
      </c>
      <c r="T28" s="440">
        <f t="shared" si="4"/>
        <v>0</v>
      </c>
      <c r="V28" s="498">
        <f t="shared" si="5"/>
        <v>3405</v>
      </c>
      <c r="W28" s="496">
        <f t="shared" si="6"/>
        <v>0.05</v>
      </c>
      <c r="X28" s="497">
        <f t="shared" si="7"/>
        <v>170.25</v>
      </c>
      <c r="Y28" s="495">
        <f t="shared" si="8"/>
        <v>0.05</v>
      </c>
      <c r="AA28" s="375">
        <f t="shared" si="14"/>
        <v>5.9622599999999997</v>
      </c>
      <c r="AB28" s="376">
        <f t="shared" si="9"/>
        <v>20301.495300000002</v>
      </c>
    </row>
    <row r="29" spans="1:29" ht="14.5" x14ac:dyDescent="0.35">
      <c r="A29">
        <v>5211</v>
      </c>
      <c r="B29" s="80" t="s">
        <v>339</v>
      </c>
      <c r="C29" t="s">
        <v>320</v>
      </c>
      <c r="D29" s="417">
        <v>3315</v>
      </c>
      <c r="E29" s="302">
        <v>3315</v>
      </c>
      <c r="F29" s="302">
        <v>2325</v>
      </c>
      <c r="G29" s="94">
        <f t="shared" si="0"/>
        <v>8955</v>
      </c>
      <c r="H29" s="303">
        <f t="shared" si="10"/>
        <v>5.6520000000000001</v>
      </c>
      <c r="I29" s="418">
        <f t="shared" si="1"/>
        <v>50613.66</v>
      </c>
      <c r="K29" s="399">
        <v>0.13352941176470587</v>
      </c>
      <c r="L29" s="304">
        <f t="shared" si="11"/>
        <v>1195.7558823529409</v>
      </c>
      <c r="M29" s="305">
        <f t="shared" si="2"/>
        <v>1554.4826470588232</v>
      </c>
      <c r="N29" s="400">
        <f t="shared" si="3"/>
        <v>0.1735882352941176</v>
      </c>
      <c r="P29" s="439">
        <v>0</v>
      </c>
      <c r="Q29" s="306">
        <v>0</v>
      </c>
      <c r="R29" s="307">
        <f t="shared" si="12"/>
        <v>5.0999999999999996</v>
      </c>
      <c r="S29" s="308">
        <f t="shared" si="13"/>
        <v>0</v>
      </c>
      <c r="T29" s="440">
        <f t="shared" si="4"/>
        <v>0</v>
      </c>
      <c r="V29" s="498">
        <f t="shared" si="5"/>
        <v>8955</v>
      </c>
      <c r="W29" s="496">
        <f t="shared" si="6"/>
        <v>0.05</v>
      </c>
      <c r="X29" s="497">
        <f t="shared" si="7"/>
        <v>447.75</v>
      </c>
      <c r="Y29" s="495">
        <f t="shared" si="8"/>
        <v>0.05</v>
      </c>
      <c r="AA29" s="375">
        <f t="shared" si="14"/>
        <v>5.875588235294118</v>
      </c>
      <c r="AB29" s="376">
        <f t="shared" si="9"/>
        <v>52615.892647058827</v>
      </c>
    </row>
    <row r="30" spans="1:29" ht="14.5" x14ac:dyDescent="0.35">
      <c r="A30">
        <v>2029</v>
      </c>
      <c r="B30" s="80" t="s">
        <v>340</v>
      </c>
      <c r="C30" t="s">
        <v>320</v>
      </c>
      <c r="D30" s="417">
        <v>1545</v>
      </c>
      <c r="E30" s="302">
        <v>1560</v>
      </c>
      <c r="F30" s="302">
        <v>1440</v>
      </c>
      <c r="G30" s="94">
        <f t="shared" si="0"/>
        <v>4545</v>
      </c>
      <c r="H30" s="303">
        <f t="shared" si="10"/>
        <v>5.6520000000000001</v>
      </c>
      <c r="I30" s="418">
        <f t="shared" si="1"/>
        <v>25688.34</v>
      </c>
      <c r="K30" s="399">
        <v>0.17450000000000002</v>
      </c>
      <c r="L30" s="304">
        <f t="shared" si="11"/>
        <v>793.10250000000008</v>
      </c>
      <c r="M30" s="305">
        <f t="shared" si="2"/>
        <v>1031.0332500000002</v>
      </c>
      <c r="N30" s="400">
        <f t="shared" si="3"/>
        <v>0.22685000000000005</v>
      </c>
      <c r="P30" s="439">
        <v>0</v>
      </c>
      <c r="Q30" s="306">
        <v>0</v>
      </c>
      <c r="R30" s="307">
        <f t="shared" si="12"/>
        <v>5.0999999999999996</v>
      </c>
      <c r="S30" s="308">
        <f t="shared" si="13"/>
        <v>0</v>
      </c>
      <c r="T30" s="440">
        <f t="shared" si="4"/>
        <v>0</v>
      </c>
      <c r="V30" s="498">
        <f t="shared" si="5"/>
        <v>4545</v>
      </c>
      <c r="W30" s="496">
        <f t="shared" si="6"/>
        <v>0.05</v>
      </c>
      <c r="X30" s="497">
        <f t="shared" si="7"/>
        <v>227.25</v>
      </c>
      <c r="Y30" s="495">
        <f t="shared" si="8"/>
        <v>0.05</v>
      </c>
      <c r="AA30" s="375">
        <f t="shared" si="14"/>
        <v>5.9288499999999997</v>
      </c>
      <c r="AB30" s="376">
        <f t="shared" si="9"/>
        <v>26946.623250000001</v>
      </c>
    </row>
    <row r="31" spans="1:29" ht="14.5" x14ac:dyDescent="0.35">
      <c r="A31">
        <v>2063</v>
      </c>
      <c r="B31" s="80" t="s">
        <v>343</v>
      </c>
      <c r="C31" t="s">
        <v>320</v>
      </c>
      <c r="D31" s="417">
        <v>1365</v>
      </c>
      <c r="E31" s="302">
        <v>1365</v>
      </c>
      <c r="F31" s="302">
        <v>1260</v>
      </c>
      <c r="G31" s="94">
        <f t="shared" si="0"/>
        <v>3990</v>
      </c>
      <c r="H31" s="303">
        <f t="shared" si="10"/>
        <v>5.6520000000000001</v>
      </c>
      <c r="I31" s="418">
        <f t="shared" si="1"/>
        <v>22551.48</v>
      </c>
      <c r="K31" s="399">
        <v>0.14142857142857143</v>
      </c>
      <c r="L31" s="304">
        <f t="shared" si="11"/>
        <v>564.29999999999995</v>
      </c>
      <c r="M31" s="305">
        <f t="shared" si="2"/>
        <v>733.58999999999992</v>
      </c>
      <c r="N31" s="400">
        <f t="shared" si="3"/>
        <v>0.18385714285714283</v>
      </c>
      <c r="P31" s="439">
        <v>0</v>
      </c>
      <c r="Q31" s="306">
        <v>0</v>
      </c>
      <c r="R31" s="307">
        <f t="shared" si="12"/>
        <v>5.0999999999999996</v>
      </c>
      <c r="S31" s="308">
        <f t="shared" si="13"/>
        <v>0</v>
      </c>
      <c r="T31" s="440">
        <f t="shared" si="4"/>
        <v>0</v>
      </c>
      <c r="V31" s="498">
        <f t="shared" si="5"/>
        <v>3990</v>
      </c>
      <c r="W31" s="496">
        <f t="shared" si="6"/>
        <v>0.05</v>
      </c>
      <c r="X31" s="497">
        <f t="shared" si="7"/>
        <v>199.5</v>
      </c>
      <c r="Y31" s="495">
        <f t="shared" si="8"/>
        <v>0.05</v>
      </c>
      <c r="AA31" s="375">
        <f t="shared" si="14"/>
        <v>5.8858571428571427</v>
      </c>
      <c r="AB31" s="376">
        <f t="shared" si="9"/>
        <v>23484.57</v>
      </c>
    </row>
    <row r="32" spans="1:29" ht="14.5" x14ac:dyDescent="0.35">
      <c r="A32">
        <v>2081</v>
      </c>
      <c r="B32" s="80" t="s">
        <v>344</v>
      </c>
      <c r="C32" t="s">
        <v>320</v>
      </c>
      <c r="D32" s="417">
        <v>4680</v>
      </c>
      <c r="E32" s="302">
        <v>3870</v>
      </c>
      <c r="F32" s="302">
        <v>4320</v>
      </c>
      <c r="G32" s="94">
        <f t="shared" si="0"/>
        <v>12870</v>
      </c>
      <c r="H32" s="303">
        <f t="shared" si="10"/>
        <v>5.6520000000000001</v>
      </c>
      <c r="I32" s="418">
        <f t="shared" si="1"/>
        <v>72741.240000000005</v>
      </c>
      <c r="K32" s="399">
        <v>0.15115000000000001</v>
      </c>
      <c r="L32" s="304">
        <f t="shared" si="11"/>
        <v>1945.3005000000001</v>
      </c>
      <c r="M32" s="305">
        <f t="shared" si="2"/>
        <v>2528.8906500000003</v>
      </c>
      <c r="N32" s="400">
        <f t="shared" si="3"/>
        <v>0.19649500000000003</v>
      </c>
      <c r="P32" s="439">
        <v>1.0052271813429835E-2</v>
      </c>
      <c r="Q32" s="306">
        <v>375</v>
      </c>
      <c r="R32" s="307">
        <f t="shared" si="12"/>
        <v>5.0999999999999996</v>
      </c>
      <c r="S32" s="308">
        <f t="shared" si="13"/>
        <v>1912.4999999999998</v>
      </c>
      <c r="T32" s="440">
        <f t="shared" si="4"/>
        <v>0.14860139860139859</v>
      </c>
      <c r="V32" s="498">
        <f t="shared" si="5"/>
        <v>12870</v>
      </c>
      <c r="W32" s="496">
        <f t="shared" si="6"/>
        <v>0.05</v>
      </c>
      <c r="X32" s="497">
        <f t="shared" si="7"/>
        <v>643.5</v>
      </c>
      <c r="Y32" s="495">
        <f t="shared" si="8"/>
        <v>0.05</v>
      </c>
      <c r="AA32" s="375">
        <f t="shared" si="14"/>
        <v>6.0470963986013979</v>
      </c>
      <c r="AB32" s="376">
        <f t="shared" si="9"/>
        <v>77826.130650000006</v>
      </c>
    </row>
    <row r="33" spans="1:28" ht="14.5" x14ac:dyDescent="0.35">
      <c r="A33">
        <v>5204</v>
      </c>
      <c r="B33" s="80" t="s">
        <v>345</v>
      </c>
      <c r="C33" t="s">
        <v>320</v>
      </c>
      <c r="D33" s="417"/>
      <c r="E33" s="302"/>
      <c r="F33" s="302"/>
      <c r="G33" s="94">
        <f t="shared" si="0"/>
        <v>0</v>
      </c>
      <c r="H33" s="303">
        <f t="shared" si="10"/>
        <v>5.6520000000000001</v>
      </c>
      <c r="I33" s="418">
        <f t="shared" si="1"/>
        <v>0</v>
      </c>
      <c r="K33" s="399"/>
      <c r="L33" s="304">
        <f t="shared" si="11"/>
        <v>0</v>
      </c>
      <c r="M33" s="305"/>
      <c r="N33" s="400"/>
      <c r="P33" s="439">
        <v>0</v>
      </c>
      <c r="Q33" s="306">
        <v>0</v>
      </c>
      <c r="R33" s="307">
        <f t="shared" si="12"/>
        <v>5.0999999999999996</v>
      </c>
      <c r="S33" s="308">
        <f t="shared" si="13"/>
        <v>0</v>
      </c>
      <c r="T33" s="440"/>
      <c r="V33" s="498">
        <f t="shared" si="5"/>
        <v>0</v>
      </c>
      <c r="W33" s="496"/>
      <c r="X33" s="497">
        <f t="shared" si="7"/>
        <v>0</v>
      </c>
      <c r="Y33" s="495"/>
      <c r="AA33" s="375">
        <f t="shared" si="14"/>
        <v>5.6520000000000001</v>
      </c>
      <c r="AB33" s="376">
        <f t="shared" si="9"/>
        <v>0</v>
      </c>
    </row>
    <row r="34" spans="1:28" ht="14.5" x14ac:dyDescent="0.35">
      <c r="A34">
        <v>2027</v>
      </c>
      <c r="B34" s="80" t="s">
        <v>346</v>
      </c>
      <c r="C34" t="s">
        <v>320</v>
      </c>
      <c r="D34" s="417">
        <v>3120</v>
      </c>
      <c r="E34" s="302">
        <v>4470</v>
      </c>
      <c r="F34" s="302">
        <v>2520</v>
      </c>
      <c r="G34" s="94">
        <f t="shared" si="0"/>
        <v>10110</v>
      </c>
      <c r="H34" s="303">
        <f t="shared" si="10"/>
        <v>5.6520000000000001</v>
      </c>
      <c r="I34" s="418">
        <f t="shared" si="1"/>
        <v>57141.72</v>
      </c>
      <c r="K34" s="399">
        <v>0.13073913043478261</v>
      </c>
      <c r="L34" s="304">
        <f t="shared" si="11"/>
        <v>1321.7726086956523</v>
      </c>
      <c r="M34" s="305">
        <f t="shared" si="2"/>
        <v>1718.304391304348</v>
      </c>
      <c r="N34" s="400">
        <f t="shared" si="3"/>
        <v>0.16996086956521742</v>
      </c>
      <c r="P34" s="439">
        <v>0</v>
      </c>
      <c r="Q34" s="306">
        <v>0</v>
      </c>
      <c r="R34" s="307">
        <f t="shared" si="12"/>
        <v>5.0999999999999996</v>
      </c>
      <c r="S34" s="308">
        <f t="shared" si="13"/>
        <v>0</v>
      </c>
      <c r="T34" s="440">
        <f t="shared" si="4"/>
        <v>0</v>
      </c>
      <c r="V34" s="498">
        <f t="shared" si="5"/>
        <v>10110</v>
      </c>
      <c r="W34" s="496">
        <f t="shared" si="6"/>
        <v>0.05</v>
      </c>
      <c r="X34" s="497">
        <f t="shared" si="7"/>
        <v>505.5</v>
      </c>
      <c r="Y34" s="495">
        <f t="shared" si="8"/>
        <v>0.05</v>
      </c>
      <c r="AA34" s="375">
        <f t="shared" si="14"/>
        <v>5.8719608695652177</v>
      </c>
      <c r="AB34" s="376">
        <f t="shared" si="9"/>
        <v>59365.524391304352</v>
      </c>
    </row>
    <row r="35" spans="1:28" ht="14.5" x14ac:dyDescent="0.35">
      <c r="A35">
        <v>2032</v>
      </c>
      <c r="B35" s="80" t="s">
        <v>347</v>
      </c>
      <c r="C35" t="s">
        <v>320</v>
      </c>
      <c r="D35" s="417">
        <v>4680</v>
      </c>
      <c r="E35" s="302">
        <v>4290</v>
      </c>
      <c r="F35" s="302">
        <v>4320</v>
      </c>
      <c r="G35" s="94">
        <f t="shared" si="0"/>
        <v>13290</v>
      </c>
      <c r="H35" s="303">
        <f t="shared" si="10"/>
        <v>5.6520000000000001</v>
      </c>
      <c r="I35" s="418">
        <f t="shared" si="1"/>
        <v>75115.08</v>
      </c>
      <c r="K35" s="399">
        <v>9.5090909090909073E-2</v>
      </c>
      <c r="L35" s="304">
        <f t="shared" si="11"/>
        <v>1263.7581818181816</v>
      </c>
      <c r="M35" s="305">
        <f t="shared" si="2"/>
        <v>1642.8856363636362</v>
      </c>
      <c r="N35" s="400">
        <f t="shared" si="3"/>
        <v>0.12361818181818181</v>
      </c>
      <c r="P35" s="439">
        <v>0</v>
      </c>
      <c r="Q35" s="306">
        <v>0</v>
      </c>
      <c r="R35" s="307">
        <f t="shared" si="12"/>
        <v>5.0999999999999996</v>
      </c>
      <c r="S35" s="308">
        <f t="shared" si="13"/>
        <v>0</v>
      </c>
      <c r="T35" s="440">
        <f t="shared" si="4"/>
        <v>0</v>
      </c>
      <c r="V35" s="498">
        <f t="shared" si="5"/>
        <v>13290</v>
      </c>
      <c r="W35" s="496">
        <f t="shared" si="6"/>
        <v>0.05</v>
      </c>
      <c r="X35" s="497">
        <f t="shared" si="7"/>
        <v>664.5</v>
      </c>
      <c r="Y35" s="495">
        <f t="shared" si="8"/>
        <v>0.05</v>
      </c>
      <c r="AA35" s="375">
        <f t="shared" si="14"/>
        <v>5.8256181818181814</v>
      </c>
      <c r="AB35" s="376">
        <f t="shared" si="9"/>
        <v>77422.465636363631</v>
      </c>
    </row>
    <row r="36" spans="1:28" ht="14.5" x14ac:dyDescent="0.35">
      <c r="A36">
        <v>2028</v>
      </c>
      <c r="B36" s="80" t="s">
        <v>348</v>
      </c>
      <c r="C36" t="s">
        <v>320</v>
      </c>
      <c r="D36" s="417">
        <v>975</v>
      </c>
      <c r="E36" s="302">
        <v>585</v>
      </c>
      <c r="F36" s="302">
        <v>900</v>
      </c>
      <c r="G36" s="94">
        <f t="shared" si="0"/>
        <v>2460</v>
      </c>
      <c r="H36" s="303">
        <f t="shared" si="10"/>
        <v>5.6520000000000001</v>
      </c>
      <c r="I36" s="418">
        <f t="shared" si="1"/>
        <v>13903.92</v>
      </c>
      <c r="K36" s="399">
        <v>0.18300000000000002</v>
      </c>
      <c r="L36" s="304">
        <f t="shared" si="11"/>
        <v>450.18000000000006</v>
      </c>
      <c r="M36" s="305">
        <f t="shared" si="2"/>
        <v>585.23400000000015</v>
      </c>
      <c r="N36" s="400">
        <f t="shared" si="3"/>
        <v>0.23790000000000006</v>
      </c>
      <c r="P36" s="439">
        <v>0</v>
      </c>
      <c r="Q36" s="306">
        <v>0</v>
      </c>
      <c r="R36" s="307">
        <f t="shared" si="12"/>
        <v>5.0999999999999996</v>
      </c>
      <c r="S36" s="308">
        <f t="shared" si="13"/>
        <v>0</v>
      </c>
      <c r="T36" s="440">
        <f t="shared" si="4"/>
        <v>0</v>
      </c>
      <c r="V36" s="498">
        <f t="shared" si="5"/>
        <v>2460</v>
      </c>
      <c r="W36" s="496">
        <f t="shared" si="6"/>
        <v>0.05</v>
      </c>
      <c r="X36" s="497">
        <f t="shared" si="7"/>
        <v>123</v>
      </c>
      <c r="Y36" s="495">
        <f t="shared" si="8"/>
        <v>0.05</v>
      </c>
      <c r="AA36" s="375">
        <f t="shared" si="14"/>
        <v>5.9398999999999997</v>
      </c>
      <c r="AB36" s="376">
        <f t="shared" si="9"/>
        <v>14612.154</v>
      </c>
    </row>
    <row r="37" spans="1:28" ht="14.5" x14ac:dyDescent="0.35">
      <c r="A37">
        <v>2017</v>
      </c>
      <c r="B37" s="80" t="s">
        <v>349</v>
      </c>
      <c r="C37" t="s">
        <v>320</v>
      </c>
      <c r="D37" s="417">
        <v>2145</v>
      </c>
      <c r="E37" s="302">
        <v>2145</v>
      </c>
      <c r="F37" s="302">
        <v>1980</v>
      </c>
      <c r="G37" s="94">
        <f t="shared" si="0"/>
        <v>6270</v>
      </c>
      <c r="H37" s="303">
        <f t="shared" si="10"/>
        <v>5.6520000000000001</v>
      </c>
      <c r="I37" s="418">
        <f t="shared" si="1"/>
        <v>35438.04</v>
      </c>
      <c r="K37" s="399">
        <v>0.21036363636363636</v>
      </c>
      <c r="L37" s="304">
        <f t="shared" si="11"/>
        <v>1318.98</v>
      </c>
      <c r="M37" s="305">
        <f t="shared" si="2"/>
        <v>1714.674</v>
      </c>
      <c r="N37" s="400">
        <f t="shared" si="3"/>
        <v>0.27347272727272726</v>
      </c>
      <c r="P37" s="439">
        <v>3.8346315158777712E-2</v>
      </c>
      <c r="Q37" s="306">
        <v>960</v>
      </c>
      <c r="R37" s="307">
        <f t="shared" si="12"/>
        <v>5.0999999999999996</v>
      </c>
      <c r="S37" s="308">
        <f t="shared" si="13"/>
        <v>4896</v>
      </c>
      <c r="T37" s="440">
        <f t="shared" si="4"/>
        <v>0.7808612440191387</v>
      </c>
      <c r="V37" s="498">
        <f t="shared" si="5"/>
        <v>6270</v>
      </c>
      <c r="W37" s="496">
        <f t="shared" si="6"/>
        <v>0.05</v>
      </c>
      <c r="X37" s="497">
        <f t="shared" si="7"/>
        <v>313.5</v>
      </c>
      <c r="Y37" s="495">
        <f t="shared" si="8"/>
        <v>0.05</v>
      </c>
      <c r="AA37" s="375">
        <f t="shared" si="14"/>
        <v>6.7563339712918662</v>
      </c>
      <c r="AB37" s="376">
        <f t="shared" si="9"/>
        <v>42362.214</v>
      </c>
    </row>
    <row r="38" spans="1:28" ht="14.5" x14ac:dyDescent="0.35">
      <c r="A38">
        <v>2037</v>
      </c>
      <c r="B38" s="80" t="s">
        <v>350</v>
      </c>
      <c r="C38" t="s">
        <v>320</v>
      </c>
      <c r="D38" s="417">
        <v>2340</v>
      </c>
      <c r="E38" s="302">
        <v>1170</v>
      </c>
      <c r="F38" s="302">
        <v>1800</v>
      </c>
      <c r="G38" s="94">
        <f t="shared" si="0"/>
        <v>5310</v>
      </c>
      <c r="H38" s="303">
        <f t="shared" si="10"/>
        <v>5.6520000000000001</v>
      </c>
      <c r="I38" s="418">
        <f t="shared" si="1"/>
        <v>30012.12</v>
      </c>
      <c r="K38" s="399">
        <v>0.20549999999999999</v>
      </c>
      <c r="L38" s="304">
        <f t="shared" si="11"/>
        <v>1091.2049999999999</v>
      </c>
      <c r="M38" s="305">
        <f t="shared" si="2"/>
        <v>1418.5664999999999</v>
      </c>
      <c r="N38" s="400">
        <f t="shared" si="3"/>
        <v>0.26715</v>
      </c>
      <c r="P38" s="439">
        <v>0</v>
      </c>
      <c r="Q38" s="306">
        <v>0</v>
      </c>
      <c r="R38" s="307">
        <f t="shared" si="12"/>
        <v>5.0999999999999996</v>
      </c>
      <c r="S38" s="308">
        <f t="shared" si="13"/>
        <v>0</v>
      </c>
      <c r="T38" s="440">
        <f t="shared" si="4"/>
        <v>0</v>
      </c>
      <c r="V38" s="498">
        <f t="shared" si="5"/>
        <v>5310</v>
      </c>
      <c r="W38" s="496">
        <f t="shared" si="6"/>
        <v>0.05</v>
      </c>
      <c r="X38" s="497">
        <f t="shared" si="7"/>
        <v>265.5</v>
      </c>
      <c r="Y38" s="495">
        <f t="shared" si="8"/>
        <v>0.05</v>
      </c>
      <c r="AA38" s="375">
        <f t="shared" si="14"/>
        <v>5.96915</v>
      </c>
      <c r="AB38" s="376">
        <f t="shared" si="9"/>
        <v>31696.1865</v>
      </c>
    </row>
    <row r="39" spans="1:28" ht="14.5" x14ac:dyDescent="0.35">
      <c r="A39">
        <v>2039</v>
      </c>
      <c r="B39" s="80" t="s">
        <v>351</v>
      </c>
      <c r="C39" t="s">
        <v>320</v>
      </c>
      <c r="D39" s="417">
        <v>4875</v>
      </c>
      <c r="E39" s="302">
        <v>4065</v>
      </c>
      <c r="F39" s="302">
        <v>4444</v>
      </c>
      <c r="G39" s="94">
        <f t="shared" si="0"/>
        <v>13384</v>
      </c>
      <c r="H39" s="303">
        <f t="shared" si="10"/>
        <v>5.6520000000000001</v>
      </c>
      <c r="I39" s="418">
        <f t="shared" si="1"/>
        <v>75646.368000000002</v>
      </c>
      <c r="K39" s="399">
        <v>0.10914285714285715</v>
      </c>
      <c r="L39" s="304">
        <f t="shared" si="11"/>
        <v>1460.768</v>
      </c>
      <c r="M39" s="305">
        <f t="shared" si="2"/>
        <v>1898.9984000000002</v>
      </c>
      <c r="N39" s="400">
        <f t="shared" si="3"/>
        <v>0.14188571428571431</v>
      </c>
      <c r="P39" s="439">
        <v>1.5782828282828284E-2</v>
      </c>
      <c r="Q39" s="306">
        <v>375</v>
      </c>
      <c r="R39" s="307">
        <f t="shared" si="12"/>
        <v>5.0999999999999996</v>
      </c>
      <c r="S39" s="308">
        <f t="shared" si="13"/>
        <v>1912.4999999999998</v>
      </c>
      <c r="T39" s="440">
        <f t="shared" si="4"/>
        <v>0.14289450089659292</v>
      </c>
      <c r="V39" s="498">
        <f t="shared" si="5"/>
        <v>13384</v>
      </c>
      <c r="W39" s="496">
        <f t="shared" si="6"/>
        <v>0.05</v>
      </c>
      <c r="X39" s="497">
        <f t="shared" si="7"/>
        <v>669.2</v>
      </c>
      <c r="Y39" s="495">
        <f t="shared" si="8"/>
        <v>0.05</v>
      </c>
      <c r="AA39" s="375">
        <f t="shared" si="14"/>
        <v>5.9867802151823071</v>
      </c>
      <c r="AB39" s="376">
        <f t="shared" si="9"/>
        <v>80127.066399999996</v>
      </c>
    </row>
    <row r="40" spans="1:28" ht="14.5" x14ac:dyDescent="0.35">
      <c r="A40">
        <v>5200</v>
      </c>
      <c r="B40" s="80" t="s">
        <v>352</v>
      </c>
      <c r="C40" t="s">
        <v>320</v>
      </c>
      <c r="D40" s="417">
        <v>1898</v>
      </c>
      <c r="E40" s="302">
        <v>3465</v>
      </c>
      <c r="F40" s="302">
        <v>2556</v>
      </c>
      <c r="G40" s="94">
        <f t="shared" si="0"/>
        <v>7919</v>
      </c>
      <c r="H40" s="303">
        <f t="shared" si="10"/>
        <v>5.6520000000000001</v>
      </c>
      <c r="I40" s="418">
        <f t="shared" si="1"/>
        <v>44758.188000000002</v>
      </c>
      <c r="K40" s="399">
        <v>9.3714285714285708E-2</v>
      </c>
      <c r="L40" s="304">
        <f t="shared" si="11"/>
        <v>742.12342857142858</v>
      </c>
      <c r="M40" s="305">
        <f t="shared" si="2"/>
        <v>964.76045714285715</v>
      </c>
      <c r="N40" s="400">
        <f t="shared" si="3"/>
        <v>0.12182857142857142</v>
      </c>
      <c r="P40" s="439">
        <v>0</v>
      </c>
      <c r="Q40" s="306">
        <v>0</v>
      </c>
      <c r="R40" s="307">
        <f t="shared" si="12"/>
        <v>5.0999999999999996</v>
      </c>
      <c r="S40" s="308">
        <f t="shared" si="13"/>
        <v>0</v>
      </c>
      <c r="T40" s="440">
        <f t="shared" si="4"/>
        <v>0</v>
      </c>
      <c r="V40" s="498">
        <f t="shared" si="5"/>
        <v>7919</v>
      </c>
      <c r="W40" s="496">
        <f t="shared" si="6"/>
        <v>0.05</v>
      </c>
      <c r="X40" s="497">
        <f t="shared" si="7"/>
        <v>395.95000000000005</v>
      </c>
      <c r="Y40" s="495">
        <f t="shared" si="8"/>
        <v>0.05</v>
      </c>
      <c r="AA40" s="375">
        <f t="shared" si="14"/>
        <v>5.8238285714285718</v>
      </c>
      <c r="AB40" s="376">
        <f t="shared" si="9"/>
        <v>46118.898457142859</v>
      </c>
    </row>
    <row r="41" spans="1:28" ht="14.5" x14ac:dyDescent="0.35">
      <c r="A41">
        <v>2040</v>
      </c>
      <c r="B41" s="80" t="s">
        <v>141</v>
      </c>
      <c r="C41" t="s">
        <v>320</v>
      </c>
      <c r="D41" s="417">
        <v>1365</v>
      </c>
      <c r="E41" s="302">
        <v>975</v>
      </c>
      <c r="F41" s="302">
        <v>1440</v>
      </c>
      <c r="G41" s="94">
        <f t="shared" si="0"/>
        <v>3780</v>
      </c>
      <c r="H41" s="303">
        <f t="shared" si="10"/>
        <v>5.6520000000000001</v>
      </c>
      <c r="I41" s="418">
        <f t="shared" si="1"/>
        <v>21364.560000000001</v>
      </c>
      <c r="K41" s="399">
        <v>0.18319999999999997</v>
      </c>
      <c r="L41" s="304">
        <f t="shared" si="11"/>
        <v>692.49599999999987</v>
      </c>
      <c r="M41" s="305">
        <f t="shared" si="2"/>
        <v>900.24479999999983</v>
      </c>
      <c r="N41" s="400">
        <f t="shared" si="3"/>
        <v>0.23815999999999996</v>
      </c>
      <c r="P41" s="439">
        <v>1.5348288075560802E-2</v>
      </c>
      <c r="Q41" s="306">
        <v>390</v>
      </c>
      <c r="R41" s="307">
        <f t="shared" si="12"/>
        <v>5.0999999999999996</v>
      </c>
      <c r="S41" s="308">
        <f t="shared" si="13"/>
        <v>1988.9999999999998</v>
      </c>
      <c r="T41" s="440">
        <f t="shared" si="4"/>
        <v>0.5261904761904761</v>
      </c>
      <c r="V41" s="498">
        <f t="shared" si="5"/>
        <v>3780</v>
      </c>
      <c r="W41" s="496">
        <f t="shared" si="6"/>
        <v>0.05</v>
      </c>
      <c r="X41" s="497">
        <f t="shared" si="7"/>
        <v>189</v>
      </c>
      <c r="Y41" s="495">
        <f t="shared" si="8"/>
        <v>0.05</v>
      </c>
      <c r="AA41" s="375">
        <f t="shared" si="14"/>
        <v>6.4663504761904758</v>
      </c>
      <c r="AB41" s="376">
        <f t="shared" si="9"/>
        <v>24442.804800000002</v>
      </c>
    </row>
    <row r="42" spans="1:28" ht="14.5" x14ac:dyDescent="0.35">
      <c r="A42">
        <v>2080</v>
      </c>
      <c r="B42" s="80" t="s">
        <v>354</v>
      </c>
      <c r="C42" t="s">
        <v>320</v>
      </c>
      <c r="D42" s="417">
        <v>1890</v>
      </c>
      <c r="E42" s="302">
        <v>975</v>
      </c>
      <c r="F42" s="302">
        <v>1410</v>
      </c>
      <c r="G42" s="94">
        <f t="shared" si="0"/>
        <v>4275</v>
      </c>
      <c r="H42" s="303">
        <f t="shared" si="10"/>
        <v>5.6520000000000001</v>
      </c>
      <c r="I42" s="418">
        <f t="shared" si="1"/>
        <v>24162.3</v>
      </c>
      <c r="K42" s="399">
        <v>0.13979999999999998</v>
      </c>
      <c r="L42" s="304">
        <f t="shared" si="11"/>
        <v>597.64499999999987</v>
      </c>
      <c r="M42" s="305">
        <f t="shared" si="2"/>
        <v>776.93849999999986</v>
      </c>
      <c r="N42" s="400">
        <f t="shared" si="3"/>
        <v>0.18173999999999996</v>
      </c>
      <c r="P42" s="439">
        <v>0</v>
      </c>
      <c r="Q42" s="306">
        <v>0</v>
      </c>
      <c r="R42" s="307">
        <f t="shared" si="12"/>
        <v>5.0999999999999996</v>
      </c>
      <c r="S42" s="308">
        <f t="shared" si="13"/>
        <v>0</v>
      </c>
      <c r="T42" s="440">
        <f t="shared" si="4"/>
        <v>0</v>
      </c>
      <c r="V42" s="498">
        <f t="shared" si="5"/>
        <v>4275</v>
      </c>
      <c r="W42" s="496">
        <f t="shared" si="6"/>
        <v>0.05</v>
      </c>
      <c r="X42" s="497">
        <f t="shared" si="7"/>
        <v>213.75</v>
      </c>
      <c r="Y42" s="495">
        <f t="shared" si="8"/>
        <v>0.05</v>
      </c>
      <c r="AA42" s="375">
        <f t="shared" si="14"/>
        <v>5.8837399999999995</v>
      </c>
      <c r="AB42" s="376">
        <f t="shared" si="9"/>
        <v>25152.988499999999</v>
      </c>
    </row>
    <row r="43" spans="1:28" ht="14.5" x14ac:dyDescent="0.35">
      <c r="A43">
        <v>2048</v>
      </c>
      <c r="B43" s="80" t="s">
        <v>355</v>
      </c>
      <c r="C43" t="s">
        <v>320</v>
      </c>
      <c r="D43" s="417">
        <v>3705</v>
      </c>
      <c r="E43" s="302">
        <v>2190</v>
      </c>
      <c r="F43" s="302">
        <v>3270</v>
      </c>
      <c r="G43" s="94">
        <f t="shared" si="0"/>
        <v>9165</v>
      </c>
      <c r="H43" s="303">
        <f t="shared" si="10"/>
        <v>5.6520000000000001</v>
      </c>
      <c r="I43" s="418">
        <f t="shared" si="1"/>
        <v>51800.58</v>
      </c>
      <c r="K43" s="399">
        <v>0.12783333333333333</v>
      </c>
      <c r="L43" s="304">
        <f t="shared" si="11"/>
        <v>1171.5925</v>
      </c>
      <c r="M43" s="305">
        <f t="shared" si="2"/>
        <v>1523.07025</v>
      </c>
      <c r="N43" s="400">
        <f t="shared" si="3"/>
        <v>0.16618333333333332</v>
      </c>
      <c r="P43" s="439">
        <v>0</v>
      </c>
      <c r="Q43" s="306">
        <v>0</v>
      </c>
      <c r="R43" s="307">
        <f t="shared" si="12"/>
        <v>5.0999999999999996</v>
      </c>
      <c r="S43" s="308">
        <f t="shared" si="13"/>
        <v>0</v>
      </c>
      <c r="T43" s="440">
        <f t="shared" si="4"/>
        <v>0</v>
      </c>
      <c r="V43" s="498">
        <f t="shared" si="5"/>
        <v>9165</v>
      </c>
      <c r="W43" s="496">
        <f t="shared" si="6"/>
        <v>0.05</v>
      </c>
      <c r="X43" s="497">
        <f t="shared" si="7"/>
        <v>458.25</v>
      </c>
      <c r="Y43" s="495">
        <f t="shared" si="8"/>
        <v>0.05</v>
      </c>
      <c r="AA43" s="375">
        <f t="shared" si="14"/>
        <v>5.8681833333333335</v>
      </c>
      <c r="AB43" s="376">
        <f t="shared" si="9"/>
        <v>53781.900249999999</v>
      </c>
    </row>
    <row r="44" spans="1:28" ht="14.5" x14ac:dyDescent="0.35">
      <c r="A44">
        <v>3405</v>
      </c>
      <c r="B44" s="80" t="s">
        <v>356</v>
      </c>
      <c r="C44" t="s">
        <v>320</v>
      </c>
      <c r="D44" s="417"/>
      <c r="E44" s="302">
        <v>1395</v>
      </c>
      <c r="F44" s="302"/>
      <c r="G44" s="94">
        <f t="shared" si="0"/>
        <v>1395</v>
      </c>
      <c r="H44" s="303">
        <f t="shared" si="10"/>
        <v>5.6520000000000001</v>
      </c>
      <c r="I44" s="418">
        <f t="shared" si="1"/>
        <v>7884.54</v>
      </c>
      <c r="K44" s="399">
        <v>9.9374999999999991E-2</v>
      </c>
      <c r="L44" s="304">
        <f t="shared" si="11"/>
        <v>138.62812499999998</v>
      </c>
      <c r="M44" s="305">
        <f t="shared" si="2"/>
        <v>180.21656249999998</v>
      </c>
      <c r="N44" s="400">
        <f t="shared" si="3"/>
        <v>0.12918749999999998</v>
      </c>
      <c r="P44" s="439">
        <v>0</v>
      </c>
      <c r="Q44" s="306">
        <v>0</v>
      </c>
      <c r="R44" s="307">
        <f t="shared" si="12"/>
        <v>5.0999999999999996</v>
      </c>
      <c r="S44" s="308">
        <f t="shared" si="13"/>
        <v>0</v>
      </c>
      <c r="T44" s="440">
        <f t="shared" si="4"/>
        <v>0</v>
      </c>
      <c r="V44" s="498">
        <f t="shared" si="5"/>
        <v>1395</v>
      </c>
      <c r="W44" s="496">
        <f t="shared" si="6"/>
        <v>0.05</v>
      </c>
      <c r="X44" s="497">
        <f t="shared" si="7"/>
        <v>69.75</v>
      </c>
      <c r="Y44" s="495">
        <f t="shared" si="8"/>
        <v>0.05</v>
      </c>
      <c r="AA44" s="375">
        <f t="shared" si="14"/>
        <v>5.8311874999999995</v>
      </c>
      <c r="AB44" s="376">
        <f t="shared" si="9"/>
        <v>8134.5065624999997</v>
      </c>
    </row>
    <row r="45" spans="1:28" ht="14.5" x14ac:dyDescent="0.35">
      <c r="A45">
        <v>5208</v>
      </c>
      <c r="B45" s="80" t="s">
        <v>357</v>
      </c>
      <c r="C45" t="s">
        <v>320</v>
      </c>
      <c r="D45" s="417">
        <v>1950</v>
      </c>
      <c r="E45" s="302">
        <v>645</v>
      </c>
      <c r="F45" s="302">
        <v>1800</v>
      </c>
      <c r="G45" s="94">
        <f t="shared" si="0"/>
        <v>4395</v>
      </c>
      <c r="H45" s="303">
        <f t="shared" si="10"/>
        <v>5.6520000000000001</v>
      </c>
      <c r="I45" s="418">
        <f t="shared" si="1"/>
        <v>24840.54</v>
      </c>
      <c r="K45" s="399">
        <v>0.14200000000000002</v>
      </c>
      <c r="L45" s="304">
        <f t="shared" si="11"/>
        <v>624.09</v>
      </c>
      <c r="M45" s="305">
        <f t="shared" si="2"/>
        <v>811.31700000000012</v>
      </c>
      <c r="N45" s="400">
        <f t="shared" si="3"/>
        <v>0.18460000000000001</v>
      </c>
      <c r="P45" s="439">
        <v>0</v>
      </c>
      <c r="Q45" s="306">
        <v>0</v>
      </c>
      <c r="R45" s="307">
        <f t="shared" si="12"/>
        <v>5.0999999999999996</v>
      </c>
      <c r="S45" s="308">
        <f t="shared" si="13"/>
        <v>0</v>
      </c>
      <c r="T45" s="440">
        <f t="shared" si="4"/>
        <v>0</v>
      </c>
      <c r="V45" s="498">
        <f t="shared" si="5"/>
        <v>4395</v>
      </c>
      <c r="W45" s="496">
        <f t="shared" si="6"/>
        <v>0.05</v>
      </c>
      <c r="X45" s="497">
        <f t="shared" si="7"/>
        <v>219.75</v>
      </c>
      <c r="Y45" s="495">
        <f t="shared" si="8"/>
        <v>0.05</v>
      </c>
      <c r="AA45" s="375">
        <f t="shared" si="14"/>
        <v>5.8865999999999996</v>
      </c>
      <c r="AB45" s="376">
        <f t="shared" si="9"/>
        <v>25871.607</v>
      </c>
    </row>
    <row r="46" spans="1:28" ht="14.5" x14ac:dyDescent="0.35">
      <c r="A46">
        <v>3402</v>
      </c>
      <c r="B46" s="80" t="s">
        <v>358</v>
      </c>
      <c r="C46" t="s">
        <v>320</v>
      </c>
      <c r="D46" s="417">
        <v>2925</v>
      </c>
      <c r="E46" s="302">
        <v>2730</v>
      </c>
      <c r="F46" s="302">
        <v>2700</v>
      </c>
      <c r="G46" s="94">
        <f t="shared" si="0"/>
        <v>8355</v>
      </c>
      <c r="H46" s="303">
        <f t="shared" si="10"/>
        <v>5.6520000000000001</v>
      </c>
      <c r="I46" s="418">
        <f t="shared" si="1"/>
        <v>47222.46</v>
      </c>
      <c r="K46" s="399">
        <v>0.14364285714285716</v>
      </c>
      <c r="L46" s="304">
        <f t="shared" si="11"/>
        <v>1200.1360714285715</v>
      </c>
      <c r="M46" s="305">
        <f t="shared" si="2"/>
        <v>1560.176892857143</v>
      </c>
      <c r="N46" s="400">
        <f t="shared" si="3"/>
        <v>0.18673571428571431</v>
      </c>
      <c r="P46" s="439">
        <v>0</v>
      </c>
      <c r="Q46" s="306">
        <v>0</v>
      </c>
      <c r="R46" s="307">
        <f t="shared" si="12"/>
        <v>5.0999999999999996</v>
      </c>
      <c r="S46" s="308">
        <f t="shared" si="13"/>
        <v>0</v>
      </c>
      <c r="T46" s="440">
        <f t="shared" si="4"/>
        <v>0</v>
      </c>
      <c r="V46" s="498">
        <f t="shared" si="5"/>
        <v>8355</v>
      </c>
      <c r="W46" s="496">
        <f t="shared" si="6"/>
        <v>0.05</v>
      </c>
      <c r="X46" s="497">
        <f t="shared" si="7"/>
        <v>417.75</v>
      </c>
      <c r="Y46" s="495">
        <f t="shared" si="8"/>
        <v>0.05</v>
      </c>
      <c r="AA46" s="375">
        <f t="shared" si="14"/>
        <v>5.8887357142857146</v>
      </c>
      <c r="AB46" s="376">
        <f t="shared" si="9"/>
        <v>49200.386892857139</v>
      </c>
    </row>
    <row r="47" spans="1:28" ht="14.5" x14ac:dyDescent="0.35">
      <c r="A47">
        <v>3403</v>
      </c>
      <c r="B47" s="80" t="s">
        <v>359</v>
      </c>
      <c r="C47" t="s">
        <v>320</v>
      </c>
      <c r="D47" s="417">
        <v>2145</v>
      </c>
      <c r="E47" s="302">
        <v>1755</v>
      </c>
      <c r="F47" s="302">
        <v>1620</v>
      </c>
      <c r="G47" s="94">
        <f t="shared" si="0"/>
        <v>5520</v>
      </c>
      <c r="H47" s="303">
        <f t="shared" si="10"/>
        <v>5.6520000000000001</v>
      </c>
      <c r="I47" s="418">
        <f t="shared" si="1"/>
        <v>31199.040000000001</v>
      </c>
      <c r="K47" s="399">
        <v>0.23466666666666669</v>
      </c>
      <c r="L47" s="304">
        <f t="shared" si="11"/>
        <v>1295.3600000000001</v>
      </c>
      <c r="M47" s="305">
        <f t="shared" si="2"/>
        <v>1683.9680000000003</v>
      </c>
      <c r="N47" s="400">
        <f t="shared" si="3"/>
        <v>0.30506666666666671</v>
      </c>
      <c r="P47" s="439">
        <v>3.1289111389236547E-2</v>
      </c>
      <c r="Q47" s="306">
        <v>375</v>
      </c>
      <c r="R47" s="307">
        <f t="shared" si="12"/>
        <v>5.0999999999999996</v>
      </c>
      <c r="S47" s="308">
        <f t="shared" si="13"/>
        <v>1912.4999999999998</v>
      </c>
      <c r="T47" s="440">
        <f t="shared" si="4"/>
        <v>0.34646739130434778</v>
      </c>
      <c r="V47" s="498">
        <f t="shared" si="5"/>
        <v>5520</v>
      </c>
      <c r="W47" s="496">
        <f t="shared" si="6"/>
        <v>0.05</v>
      </c>
      <c r="X47" s="497">
        <f t="shared" si="7"/>
        <v>276</v>
      </c>
      <c r="Y47" s="495">
        <f t="shared" si="8"/>
        <v>0.05</v>
      </c>
      <c r="AA47" s="375">
        <f t="shared" si="14"/>
        <v>6.3535340579710144</v>
      </c>
      <c r="AB47" s="376">
        <f t="shared" si="9"/>
        <v>35071.508000000002</v>
      </c>
    </row>
    <row r="48" spans="1:28" ht="14.5" x14ac:dyDescent="0.35">
      <c r="A48">
        <v>2035</v>
      </c>
      <c r="B48" s="80" t="s">
        <v>360</v>
      </c>
      <c r="C48" t="s">
        <v>320</v>
      </c>
      <c r="D48" s="417">
        <v>195</v>
      </c>
      <c r="E48" s="302">
        <v>975</v>
      </c>
      <c r="F48" s="302">
        <v>180</v>
      </c>
      <c r="G48" s="94">
        <f t="shared" si="0"/>
        <v>1350</v>
      </c>
      <c r="H48" s="303">
        <f t="shared" si="10"/>
        <v>5.6520000000000001</v>
      </c>
      <c r="I48" s="418">
        <f t="shared" si="1"/>
        <v>7630.2</v>
      </c>
      <c r="K48" s="399">
        <v>0.21299999999999999</v>
      </c>
      <c r="L48" s="304">
        <f t="shared" si="11"/>
        <v>287.55</v>
      </c>
      <c r="M48" s="305">
        <f t="shared" si="2"/>
        <v>373.81500000000005</v>
      </c>
      <c r="N48" s="400">
        <f t="shared" si="3"/>
        <v>0.27690000000000003</v>
      </c>
      <c r="P48" s="439">
        <v>0</v>
      </c>
      <c r="Q48" s="306">
        <v>0</v>
      </c>
      <c r="R48" s="307">
        <f t="shared" si="12"/>
        <v>5.0999999999999996</v>
      </c>
      <c r="S48" s="308">
        <f t="shared" si="13"/>
        <v>0</v>
      </c>
      <c r="T48" s="440">
        <f t="shared" si="4"/>
        <v>0</v>
      </c>
      <c r="V48" s="498">
        <f t="shared" si="5"/>
        <v>1350</v>
      </c>
      <c r="W48" s="496">
        <f t="shared" si="6"/>
        <v>0.05</v>
      </c>
      <c r="X48" s="497">
        <f t="shared" si="7"/>
        <v>67.5</v>
      </c>
      <c r="Y48" s="495">
        <f t="shared" si="8"/>
        <v>0.05</v>
      </c>
      <c r="AA48" s="375">
        <f t="shared" si="14"/>
        <v>5.9789000000000003</v>
      </c>
      <c r="AB48" s="376">
        <f t="shared" si="9"/>
        <v>8071.5149999999994</v>
      </c>
    </row>
    <row r="49" spans="1:28" ht="14.5" x14ac:dyDescent="0.35">
      <c r="A49">
        <v>3404</v>
      </c>
      <c r="B49" s="80" t="s">
        <v>361</v>
      </c>
      <c r="C49" t="s">
        <v>320</v>
      </c>
      <c r="D49" s="417">
        <v>3315</v>
      </c>
      <c r="E49" s="302">
        <v>2130</v>
      </c>
      <c r="F49" s="302">
        <v>2700</v>
      </c>
      <c r="G49" s="94">
        <f t="shared" si="0"/>
        <v>8145</v>
      </c>
      <c r="H49" s="303">
        <f t="shared" si="10"/>
        <v>5.6520000000000001</v>
      </c>
      <c r="I49" s="418">
        <f t="shared" si="1"/>
        <v>46035.54</v>
      </c>
      <c r="K49" s="399">
        <v>0.20581818181818179</v>
      </c>
      <c r="L49" s="304">
        <f t="shared" si="11"/>
        <v>1676.3890909090908</v>
      </c>
      <c r="M49" s="305">
        <f t="shared" si="2"/>
        <v>2179.3058181818183</v>
      </c>
      <c r="N49" s="400">
        <f t="shared" si="3"/>
        <v>0.26756363636363639</v>
      </c>
      <c r="P49" s="439">
        <v>1.4959723820483314E-2</v>
      </c>
      <c r="Q49" s="306">
        <v>195</v>
      </c>
      <c r="R49" s="307">
        <f t="shared" si="12"/>
        <v>5.0999999999999996</v>
      </c>
      <c r="S49" s="308">
        <f t="shared" si="13"/>
        <v>994.49999999999989</v>
      </c>
      <c r="T49" s="440">
        <f t="shared" si="4"/>
        <v>0.12209944751381215</v>
      </c>
      <c r="V49" s="498">
        <f t="shared" si="5"/>
        <v>8145</v>
      </c>
      <c r="W49" s="496">
        <f t="shared" si="6"/>
        <v>0.05</v>
      </c>
      <c r="X49" s="497">
        <f t="shared" si="7"/>
        <v>407.25</v>
      </c>
      <c r="Y49" s="495">
        <f t="shared" si="8"/>
        <v>0.05</v>
      </c>
      <c r="AA49" s="375">
        <f t="shared" si="14"/>
        <v>6.0916630838774486</v>
      </c>
      <c r="AB49" s="376">
        <f t="shared" si="9"/>
        <v>49616.595818181821</v>
      </c>
    </row>
    <row r="50" spans="1:28" ht="14.5" x14ac:dyDescent="0.35">
      <c r="A50">
        <v>3306</v>
      </c>
      <c r="B50" s="80" t="s">
        <v>362</v>
      </c>
      <c r="C50" t="s">
        <v>320</v>
      </c>
      <c r="D50" s="417"/>
      <c r="E50" s="302">
        <v>780</v>
      </c>
      <c r="F50" s="302"/>
      <c r="G50" s="94">
        <f t="shared" si="0"/>
        <v>780</v>
      </c>
      <c r="H50" s="303">
        <f t="shared" si="10"/>
        <v>5.6520000000000001</v>
      </c>
      <c r="I50" s="418">
        <f t="shared" si="1"/>
        <v>4408.5600000000004</v>
      </c>
      <c r="K50" s="399">
        <v>0.24624999999999997</v>
      </c>
      <c r="L50" s="304">
        <f t="shared" si="11"/>
        <v>192.07499999999999</v>
      </c>
      <c r="M50" s="305">
        <f t="shared" si="2"/>
        <v>249.69749999999999</v>
      </c>
      <c r="N50" s="400">
        <f t="shared" si="3"/>
        <v>0.32012499999999999</v>
      </c>
      <c r="P50" s="439">
        <v>0</v>
      </c>
      <c r="Q50" s="306">
        <v>0</v>
      </c>
      <c r="R50" s="307">
        <f t="shared" si="12"/>
        <v>5.0999999999999996</v>
      </c>
      <c r="S50" s="308">
        <f t="shared" si="13"/>
        <v>0</v>
      </c>
      <c r="T50" s="440">
        <f t="shared" si="4"/>
        <v>0</v>
      </c>
      <c r="V50" s="498">
        <f t="shared" si="5"/>
        <v>780</v>
      </c>
      <c r="W50" s="496">
        <f t="shared" si="6"/>
        <v>0.05</v>
      </c>
      <c r="X50" s="497">
        <f t="shared" si="7"/>
        <v>39</v>
      </c>
      <c r="Y50" s="495">
        <f t="shared" si="8"/>
        <v>0.05</v>
      </c>
      <c r="AA50" s="375">
        <f t="shared" si="14"/>
        <v>6.022125</v>
      </c>
      <c r="AB50" s="376">
        <f t="shared" si="9"/>
        <v>4697.2575000000006</v>
      </c>
    </row>
    <row r="51" spans="1:28" ht="14.5" x14ac:dyDescent="0.35">
      <c r="A51">
        <v>3400</v>
      </c>
      <c r="B51" s="80" t="s">
        <v>363</v>
      </c>
      <c r="C51" t="s">
        <v>320</v>
      </c>
      <c r="D51" s="417">
        <v>3588</v>
      </c>
      <c r="E51" s="302">
        <v>2535</v>
      </c>
      <c r="F51" s="302">
        <v>3018</v>
      </c>
      <c r="G51" s="94">
        <f t="shared" si="0"/>
        <v>9141</v>
      </c>
      <c r="H51" s="303">
        <f t="shared" si="10"/>
        <v>5.6520000000000001</v>
      </c>
      <c r="I51" s="418">
        <f t="shared" si="1"/>
        <v>51664.932000000001</v>
      </c>
      <c r="K51" s="399">
        <v>0.12038461538461537</v>
      </c>
      <c r="L51" s="304">
        <f t="shared" si="11"/>
        <v>1100.435769230769</v>
      </c>
      <c r="M51" s="305">
        <f t="shared" si="2"/>
        <v>1430.5664999999997</v>
      </c>
      <c r="N51" s="400">
        <f t="shared" si="3"/>
        <v>0.15649999999999997</v>
      </c>
      <c r="P51" s="439">
        <v>0</v>
      </c>
      <c r="Q51" s="306">
        <v>0</v>
      </c>
      <c r="R51" s="307">
        <f t="shared" si="12"/>
        <v>5.0999999999999996</v>
      </c>
      <c r="S51" s="308">
        <f t="shared" si="13"/>
        <v>0</v>
      </c>
      <c r="T51" s="440">
        <f t="shared" si="4"/>
        <v>0</v>
      </c>
      <c r="V51" s="498">
        <f t="shared" si="5"/>
        <v>9141</v>
      </c>
      <c r="W51" s="496">
        <f t="shared" si="6"/>
        <v>0.05</v>
      </c>
      <c r="X51" s="497">
        <f t="shared" si="7"/>
        <v>457.05</v>
      </c>
      <c r="Y51" s="495">
        <f t="shared" si="8"/>
        <v>0.05</v>
      </c>
      <c r="AA51" s="375">
        <f t="shared" si="14"/>
        <v>5.8585000000000003</v>
      </c>
      <c r="AB51" s="376">
        <f t="shared" si="9"/>
        <v>53552.548499999997</v>
      </c>
    </row>
    <row r="52" spans="1:28" ht="14.5" x14ac:dyDescent="0.35">
      <c r="A52">
        <v>2004</v>
      </c>
      <c r="B52" s="80" t="s">
        <v>171</v>
      </c>
      <c r="C52" t="s">
        <v>320</v>
      </c>
      <c r="D52" s="417">
        <v>5850</v>
      </c>
      <c r="E52" s="302">
        <v>4095</v>
      </c>
      <c r="F52" s="302">
        <v>5361</v>
      </c>
      <c r="G52" s="94">
        <f t="shared" si="0"/>
        <v>15306</v>
      </c>
      <c r="H52" s="303">
        <f t="shared" si="10"/>
        <v>5.6520000000000001</v>
      </c>
      <c r="I52" s="418">
        <f t="shared" si="1"/>
        <v>86509.512000000002</v>
      </c>
      <c r="K52" s="399">
        <v>6.4619047619047618E-2</v>
      </c>
      <c r="L52" s="304">
        <f t="shared" si="11"/>
        <v>989.05914285714289</v>
      </c>
      <c r="M52" s="305">
        <f t="shared" si="2"/>
        <v>1285.7768857142858</v>
      </c>
      <c r="N52" s="400">
        <f t="shared" si="3"/>
        <v>8.4004761904761902E-2</v>
      </c>
      <c r="P52" s="439">
        <v>0</v>
      </c>
      <c r="Q52" s="306">
        <v>0</v>
      </c>
      <c r="R52" s="307">
        <f t="shared" si="12"/>
        <v>5.0999999999999996</v>
      </c>
      <c r="S52" s="308">
        <f t="shared" si="13"/>
        <v>0</v>
      </c>
      <c r="T52" s="440">
        <f t="shared" si="4"/>
        <v>0</v>
      </c>
      <c r="V52" s="498">
        <f t="shared" si="5"/>
        <v>15306</v>
      </c>
      <c r="W52" s="496">
        <f t="shared" si="6"/>
        <v>0.05</v>
      </c>
      <c r="X52" s="497">
        <f t="shared" si="7"/>
        <v>765.30000000000007</v>
      </c>
      <c r="Y52" s="495">
        <f t="shared" si="8"/>
        <v>0.05</v>
      </c>
      <c r="AA52" s="375">
        <f t="shared" si="14"/>
        <v>5.7860047619047617</v>
      </c>
      <c r="AB52" s="376">
        <f t="shared" si="9"/>
        <v>88560.588885714285</v>
      </c>
    </row>
    <row r="53" spans="1:28" ht="14.5" x14ac:dyDescent="0.35">
      <c r="A53">
        <v>2051</v>
      </c>
      <c r="B53" s="80" t="s">
        <v>365</v>
      </c>
      <c r="C53" t="s">
        <v>320</v>
      </c>
      <c r="D53" s="417">
        <v>1560</v>
      </c>
      <c r="E53" s="302">
        <v>585</v>
      </c>
      <c r="F53" s="302">
        <v>1214</v>
      </c>
      <c r="G53" s="94">
        <f t="shared" si="0"/>
        <v>3359</v>
      </c>
      <c r="H53" s="303">
        <f t="shared" si="10"/>
        <v>5.6520000000000001</v>
      </c>
      <c r="I53" s="418">
        <f t="shared" si="1"/>
        <v>18985.067999999999</v>
      </c>
      <c r="K53" s="399">
        <v>0.24299999999999999</v>
      </c>
      <c r="L53" s="304">
        <f t="shared" si="11"/>
        <v>816.23699999999997</v>
      </c>
      <c r="M53" s="305">
        <f t="shared" si="2"/>
        <v>1061.1080999999999</v>
      </c>
      <c r="N53" s="400">
        <f t="shared" si="3"/>
        <v>0.31589999999999996</v>
      </c>
      <c r="P53" s="439">
        <v>0</v>
      </c>
      <c r="Q53" s="306">
        <v>0</v>
      </c>
      <c r="R53" s="307">
        <f t="shared" si="12"/>
        <v>5.0999999999999996</v>
      </c>
      <c r="S53" s="308">
        <f t="shared" si="13"/>
        <v>0</v>
      </c>
      <c r="T53" s="440">
        <f t="shared" si="4"/>
        <v>0</v>
      </c>
      <c r="V53" s="498">
        <f t="shared" si="5"/>
        <v>3359</v>
      </c>
      <c r="W53" s="496">
        <f t="shared" si="6"/>
        <v>0.05</v>
      </c>
      <c r="X53" s="497">
        <f t="shared" si="7"/>
        <v>167.95000000000002</v>
      </c>
      <c r="Y53" s="495">
        <f t="shared" si="8"/>
        <v>0.05</v>
      </c>
      <c r="AA53" s="375">
        <f t="shared" si="14"/>
        <v>6.0179</v>
      </c>
      <c r="AB53" s="376">
        <f t="shared" si="9"/>
        <v>20214.126099999998</v>
      </c>
    </row>
    <row r="54" spans="1:28" ht="14.5" x14ac:dyDescent="0.35">
      <c r="A54">
        <v>2074</v>
      </c>
      <c r="B54" s="80" t="s">
        <v>367</v>
      </c>
      <c r="C54" t="s">
        <v>320</v>
      </c>
      <c r="D54" s="417">
        <v>6045</v>
      </c>
      <c r="E54" s="302">
        <v>4200</v>
      </c>
      <c r="F54" s="302">
        <v>5475</v>
      </c>
      <c r="G54" s="94">
        <f t="shared" si="0"/>
        <v>15720</v>
      </c>
      <c r="H54" s="303">
        <f t="shared" si="10"/>
        <v>5.6520000000000001</v>
      </c>
      <c r="I54" s="418">
        <f t="shared" si="1"/>
        <v>88849.44</v>
      </c>
      <c r="K54" s="399">
        <v>9.2809523809523786E-2</v>
      </c>
      <c r="L54" s="304">
        <f t="shared" si="11"/>
        <v>1458.9657142857138</v>
      </c>
      <c r="M54" s="305">
        <f t="shared" si="2"/>
        <v>1896.655428571428</v>
      </c>
      <c r="N54" s="400">
        <f t="shared" si="3"/>
        <v>0.12065238095238091</v>
      </c>
      <c r="P54" s="439">
        <v>6.8418171866447733E-2</v>
      </c>
      <c r="Q54" s="306">
        <v>1875.0000000000002</v>
      </c>
      <c r="R54" s="307">
        <f t="shared" si="12"/>
        <v>5.0999999999999996</v>
      </c>
      <c r="S54" s="308">
        <f t="shared" si="13"/>
        <v>9562.5</v>
      </c>
      <c r="T54" s="440">
        <f t="shared" si="4"/>
        <v>0.60830152671755722</v>
      </c>
      <c r="V54" s="498">
        <f t="shared" si="5"/>
        <v>15720</v>
      </c>
      <c r="W54" s="496">
        <f t="shared" si="6"/>
        <v>0.05</v>
      </c>
      <c r="X54" s="497">
        <f t="shared" si="7"/>
        <v>786</v>
      </c>
      <c r="Y54" s="495">
        <f t="shared" si="8"/>
        <v>0.05</v>
      </c>
      <c r="AA54" s="375">
        <f t="shared" si="14"/>
        <v>6.430953907669938</v>
      </c>
      <c r="AB54" s="376">
        <f t="shared" si="9"/>
        <v>101094.59542857143</v>
      </c>
    </row>
    <row r="55" spans="1:28" ht="14.5" x14ac:dyDescent="0.35">
      <c r="A55">
        <v>2049</v>
      </c>
      <c r="B55" s="80" t="s">
        <v>368</v>
      </c>
      <c r="C55" t="s">
        <v>320</v>
      </c>
      <c r="D55" s="417">
        <v>1560</v>
      </c>
      <c r="E55" s="302">
        <v>780</v>
      </c>
      <c r="F55" s="302">
        <v>1440</v>
      </c>
      <c r="G55" s="94">
        <f t="shared" si="0"/>
        <v>3780</v>
      </c>
      <c r="H55" s="303">
        <f t="shared" si="10"/>
        <v>5.6520000000000001</v>
      </c>
      <c r="I55" s="418">
        <f t="shared" si="1"/>
        <v>21364.560000000001</v>
      </c>
      <c r="K55" s="399">
        <v>0.12275</v>
      </c>
      <c r="L55" s="304">
        <f t="shared" si="11"/>
        <v>463.995</v>
      </c>
      <c r="M55" s="305">
        <f t="shared" si="2"/>
        <v>603.19349999999997</v>
      </c>
      <c r="N55" s="400">
        <f t="shared" si="3"/>
        <v>0.15957499999999999</v>
      </c>
      <c r="P55" s="439">
        <v>0</v>
      </c>
      <c r="Q55" s="306">
        <v>0</v>
      </c>
      <c r="R55" s="307">
        <f t="shared" si="12"/>
        <v>5.0999999999999996</v>
      </c>
      <c r="S55" s="308">
        <f t="shared" si="13"/>
        <v>0</v>
      </c>
      <c r="T55" s="440">
        <f t="shared" si="4"/>
        <v>0</v>
      </c>
      <c r="V55" s="498">
        <f t="shared" si="5"/>
        <v>3780</v>
      </c>
      <c r="W55" s="496">
        <f t="shared" si="6"/>
        <v>0.05</v>
      </c>
      <c r="X55" s="497">
        <f t="shared" si="7"/>
        <v>189</v>
      </c>
      <c r="Y55" s="495">
        <f t="shared" si="8"/>
        <v>0.05</v>
      </c>
      <c r="AA55" s="375">
        <f t="shared" si="14"/>
        <v>5.8615750000000002</v>
      </c>
      <c r="AB55" s="376">
        <f t="shared" si="9"/>
        <v>22156.753500000003</v>
      </c>
    </row>
    <row r="56" spans="1:28" ht="14.5" x14ac:dyDescent="0.35">
      <c r="A56">
        <v>2060</v>
      </c>
      <c r="B56" s="80" t="s">
        <v>370</v>
      </c>
      <c r="C56" t="s">
        <v>320</v>
      </c>
      <c r="D56" s="417">
        <v>2595</v>
      </c>
      <c r="E56" s="302">
        <v>1560</v>
      </c>
      <c r="F56" s="302">
        <v>2700</v>
      </c>
      <c r="G56" s="94">
        <f t="shared" si="0"/>
        <v>6855</v>
      </c>
      <c r="H56" s="303">
        <f t="shared" si="10"/>
        <v>5.6520000000000001</v>
      </c>
      <c r="I56" s="418">
        <f t="shared" si="1"/>
        <v>38744.46</v>
      </c>
      <c r="K56" s="552">
        <v>0.21787499999999996</v>
      </c>
      <c r="L56" s="304">
        <f t="shared" si="11"/>
        <v>1493.5331249999997</v>
      </c>
      <c r="M56" s="305">
        <f>L56*L8</f>
        <v>1941.5930624999996</v>
      </c>
      <c r="N56" s="400">
        <f t="shared" si="3"/>
        <v>0.28323749999999992</v>
      </c>
      <c r="P56" s="439">
        <v>6.2208398133748056E-3</v>
      </c>
      <c r="Q56" s="306">
        <v>240</v>
      </c>
      <c r="R56" s="307">
        <f t="shared" si="12"/>
        <v>5.0999999999999996</v>
      </c>
      <c r="S56" s="308">
        <f t="shared" si="13"/>
        <v>1224</v>
      </c>
      <c r="T56" s="440">
        <f t="shared" si="4"/>
        <v>0.17855579868708971</v>
      </c>
      <c r="V56" s="498">
        <f t="shared" si="5"/>
        <v>6855</v>
      </c>
      <c r="W56" s="496">
        <f t="shared" si="6"/>
        <v>0.05</v>
      </c>
      <c r="X56" s="497">
        <f t="shared" si="7"/>
        <v>342.75</v>
      </c>
      <c r="Y56" s="495">
        <f t="shared" si="8"/>
        <v>0.05</v>
      </c>
      <c r="AA56" s="375">
        <f>H56+T56+N56+Y56</f>
        <v>6.1637932986870902</v>
      </c>
      <c r="AB56" s="376">
        <f t="shared" si="9"/>
        <v>42252.803062499996</v>
      </c>
    </row>
    <row r="57" spans="1:28" ht="14.5" x14ac:dyDescent="0.35">
      <c r="B57" s="80" t="s">
        <v>262</v>
      </c>
      <c r="D57" s="419"/>
      <c r="E57" s="311"/>
      <c r="F57" s="312"/>
      <c r="G57" s="94"/>
      <c r="H57" s="303">
        <f t="shared" si="10"/>
        <v>5.6520000000000001</v>
      </c>
      <c r="I57" s="418">
        <f>G57*H57+5.2</f>
        <v>5.2</v>
      </c>
      <c r="K57" s="399"/>
      <c r="L57" s="304"/>
      <c r="M57" s="305"/>
      <c r="N57" s="400"/>
      <c r="P57" s="439"/>
      <c r="Q57" s="313"/>
      <c r="R57" s="314"/>
      <c r="S57" s="308"/>
      <c r="T57" s="441"/>
      <c r="V57" s="498">
        <f t="shared" si="5"/>
        <v>0</v>
      </c>
      <c r="W57" s="496"/>
      <c r="X57" s="497"/>
      <c r="Y57" s="495"/>
      <c r="AA57" s="375">
        <f t="shared" si="14"/>
        <v>5.6520000000000001</v>
      </c>
      <c r="AB57" s="376"/>
    </row>
    <row r="58" spans="1:28" ht="14.5" x14ac:dyDescent="0.35">
      <c r="B58" s="315" t="s">
        <v>371</v>
      </c>
      <c r="C58" s="62"/>
      <c r="D58" s="420">
        <f>SUM(D11:D57)</f>
        <v>140264</v>
      </c>
      <c r="E58" s="316">
        <f>SUM(E11:E57)</f>
        <v>105478</v>
      </c>
      <c r="F58" s="316">
        <f>SUM(F11:F57)</f>
        <v>122942</v>
      </c>
      <c r="G58" s="316">
        <f>SUM(G11:G57)</f>
        <v>368684</v>
      </c>
      <c r="H58" s="194"/>
      <c r="I58" s="377">
        <f>SUM(I11:I57)</f>
        <v>2083807.1680000008</v>
      </c>
      <c r="J58" s="408">
        <v>0</v>
      </c>
      <c r="K58" s="401"/>
      <c r="L58" s="94">
        <f>SUM(L11:L57)</f>
        <v>53959.049151170984</v>
      </c>
      <c r="M58" s="94">
        <f>SUM(M11:M57)</f>
        <v>70146.763896522287</v>
      </c>
      <c r="N58" s="377"/>
      <c r="O58" s="68"/>
      <c r="P58" s="401"/>
      <c r="Q58" s="94">
        <f>SUM(Q11:Q57)</f>
        <v>8161</v>
      </c>
      <c r="R58" s="317"/>
      <c r="S58" s="318">
        <f>SUM(S11:S57)</f>
        <v>41621.1</v>
      </c>
      <c r="T58" s="442"/>
      <c r="U58" s="195"/>
      <c r="V58" s="389">
        <f>SUM(V11:V57)</f>
        <v>368684</v>
      </c>
      <c r="W58" s="195"/>
      <c r="X58" s="195">
        <f>SUM(X11:X57)</f>
        <v>18434.2</v>
      </c>
      <c r="Y58" s="390"/>
      <c r="Z58" s="195"/>
      <c r="AA58" s="373"/>
      <c r="AB58" s="377">
        <f>SUM(AB11:AB56)</f>
        <v>2214004.0318965223</v>
      </c>
    </row>
    <row r="59" spans="1:28" ht="14.5" x14ac:dyDescent="0.35">
      <c r="B59" s="80"/>
      <c r="D59" s="421"/>
      <c r="E59" s="14"/>
      <c r="F59" s="79"/>
      <c r="G59" s="320"/>
      <c r="H59" s="17"/>
      <c r="I59" s="378"/>
      <c r="J59" s="7"/>
      <c r="K59" s="402"/>
      <c r="L59" s="322"/>
      <c r="M59" s="17"/>
      <c r="N59" s="378"/>
      <c r="O59" s="68"/>
      <c r="P59" s="402"/>
      <c r="Q59" s="323"/>
      <c r="R59" s="324"/>
      <c r="S59" s="325"/>
      <c r="T59" s="443"/>
      <c r="U59" s="68"/>
      <c r="V59" s="391"/>
      <c r="W59" s="68"/>
      <c r="X59" s="68"/>
      <c r="Y59" s="392"/>
      <c r="Z59" s="68"/>
      <c r="AA59" s="373"/>
      <c r="AB59" s="378"/>
    </row>
    <row r="60" spans="1:28" ht="15" thickBot="1" x14ac:dyDescent="0.4">
      <c r="B60" s="81" t="s">
        <v>372</v>
      </c>
      <c r="C60" s="71"/>
      <c r="D60" s="422">
        <f>D58+D10</f>
        <v>140264</v>
      </c>
      <c r="E60" s="423">
        <f>E58+E10</f>
        <v>105478</v>
      </c>
      <c r="F60" s="423">
        <f>F58+F10</f>
        <v>122942</v>
      </c>
      <c r="G60" s="423">
        <f>G58+G10</f>
        <v>368684</v>
      </c>
      <c r="H60" s="424"/>
      <c r="I60" s="425">
        <f>I58+I10</f>
        <v>2083807.1680000008</v>
      </c>
      <c r="J60" s="7"/>
      <c r="K60" s="403"/>
      <c r="L60" s="404">
        <f>L58+L10</f>
        <v>53959.049151170984</v>
      </c>
      <c r="M60" s="404">
        <f>M58+M10</f>
        <v>70146.763896522287</v>
      </c>
      <c r="N60" s="380"/>
      <c r="O60" s="72"/>
      <c r="P60" s="403"/>
      <c r="Q60" s="444"/>
      <c r="R60" s="445"/>
      <c r="S60" s="446">
        <f>S58+S10</f>
        <v>41621.1</v>
      </c>
      <c r="T60" s="447"/>
      <c r="U60" s="195"/>
      <c r="V60" s="393">
        <f>V58+V10</f>
        <v>368684</v>
      </c>
      <c r="W60" s="394"/>
      <c r="X60" s="395">
        <f>X58+X10</f>
        <v>18434.2</v>
      </c>
      <c r="Y60" s="396"/>
      <c r="Z60" s="195"/>
      <c r="AA60" s="379"/>
      <c r="AB60" s="380">
        <f>AB58+AB10</f>
        <v>2214004.0318965223</v>
      </c>
    </row>
    <row r="61" spans="1:28" ht="15" thickBot="1" x14ac:dyDescent="0.4">
      <c r="B61" s="80" t="s">
        <v>375</v>
      </c>
      <c r="C61" s="64"/>
      <c r="D61" s="14"/>
      <c r="E61" s="14"/>
      <c r="F61" s="79"/>
      <c r="G61" s="320"/>
      <c r="H61" s="193"/>
      <c r="J61" s="321"/>
      <c r="K61" s="193"/>
      <c r="L61" s="15"/>
      <c r="N61" s="193"/>
      <c r="O61" s="17"/>
      <c r="P61" s="193"/>
      <c r="Q61" s="365"/>
      <c r="R61" s="326"/>
      <c r="S61" s="366"/>
      <c r="T61" s="326"/>
      <c r="U61" s="64"/>
      <c r="Y61" s="327"/>
      <c r="AB61" s="494">
        <v>180719.20094668493</v>
      </c>
    </row>
  </sheetData>
  <mergeCells count="6">
    <mergeCell ref="V6:X6"/>
    <mergeCell ref="AA6:AB6"/>
    <mergeCell ref="D6:G6"/>
    <mergeCell ref="H6:I6"/>
    <mergeCell ref="K6:N6"/>
    <mergeCell ref="P6:T6"/>
  </mergeCells>
  <pageMargins left="0.59055118110236227" right="0.39370078740157483" top="0.98425196850393704" bottom="0.98425196850393704" header="0.51181102362204722" footer="0.51181102362204722"/>
  <pageSetup paperSize="8" fitToHeight="2" orientation="landscape" r:id="rId1"/>
  <headerFooter alignWithMargins="0">
    <oddFooter>&amp;L&amp;D&amp;C&amp;F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59"/>
  <sheetViews>
    <sheetView workbookViewId="0">
      <selection activeCell="C26" sqref="C26"/>
    </sheetView>
  </sheetViews>
  <sheetFormatPr defaultColWidth="9.26953125" defaultRowHeight="12.5" x14ac:dyDescent="0.25"/>
  <cols>
    <col min="1" max="1" width="15.54296875" style="60" bestFit="1" customWidth="1"/>
    <col min="2" max="2" width="35.7265625" style="60" bestFit="1" customWidth="1"/>
    <col min="3" max="5" width="15.453125" style="157" customWidth="1"/>
    <col min="6" max="6" width="12.26953125" style="157" bestFit="1" customWidth="1"/>
    <col min="7" max="15" width="9.26953125" style="60"/>
    <col min="16" max="16" width="56" style="60" hidden="1" customWidth="1"/>
    <col min="17" max="17" width="9.26953125" style="60" hidden="1" customWidth="1"/>
    <col min="18" max="16384" width="9.26953125" style="60"/>
  </cols>
  <sheetData>
    <row r="1" spans="1:17" ht="13" x14ac:dyDescent="0.3">
      <c r="A1" s="156" t="s">
        <v>376</v>
      </c>
    </row>
    <row r="2" spans="1:17" ht="13" thickBot="1" x14ac:dyDescent="0.3"/>
    <row r="3" spans="1:17" ht="13.5" thickBot="1" x14ac:dyDescent="0.35">
      <c r="A3" s="3" t="s">
        <v>29</v>
      </c>
      <c r="B3" s="9" t="s">
        <v>144</v>
      </c>
      <c r="P3" s="60" t="s">
        <v>38</v>
      </c>
      <c r="Q3" s="60">
        <v>2001</v>
      </c>
    </row>
    <row r="4" spans="1:17" ht="13.5" thickBot="1" x14ac:dyDescent="0.35">
      <c r="A4" s="3" t="s">
        <v>31</v>
      </c>
      <c r="B4" s="8">
        <f>VLOOKUP(B3,P:Q,2,0)</f>
        <v>2064</v>
      </c>
      <c r="P4" s="60" t="s">
        <v>44</v>
      </c>
      <c r="Q4" s="60">
        <v>3401</v>
      </c>
    </row>
    <row r="5" spans="1:17" ht="13" thickBot="1" x14ac:dyDescent="0.3">
      <c r="P5" s="60" t="s">
        <v>46</v>
      </c>
      <c r="Q5" s="60">
        <v>2003</v>
      </c>
    </row>
    <row r="6" spans="1:17" s="3" customFormat="1" ht="13" x14ac:dyDescent="0.3">
      <c r="A6" s="165"/>
      <c r="B6" s="172" t="s">
        <v>377</v>
      </c>
      <c r="C6" s="599" t="s">
        <v>378</v>
      </c>
      <c r="D6" s="599"/>
      <c r="E6" s="599"/>
      <c r="F6" s="173"/>
      <c r="P6" s="3" t="s">
        <v>47</v>
      </c>
      <c r="Q6" s="3">
        <v>2002</v>
      </c>
    </row>
    <row r="7" spans="1:17" ht="13.5" thickBot="1" x14ac:dyDescent="0.35">
      <c r="B7" s="186"/>
      <c r="C7" s="187" t="s">
        <v>379</v>
      </c>
      <c r="D7" s="188" t="s">
        <v>380</v>
      </c>
      <c r="E7" s="188" t="s">
        <v>381</v>
      </c>
      <c r="F7" s="189" t="s">
        <v>112</v>
      </c>
      <c r="P7" s="60" t="s">
        <v>49</v>
      </c>
      <c r="Q7" s="60">
        <v>3300</v>
      </c>
    </row>
    <row r="8" spans="1:17" ht="13" x14ac:dyDescent="0.3">
      <c r="B8" s="172" t="s">
        <v>382</v>
      </c>
      <c r="C8" s="190">
        <f>VLOOKUP(B4,'EYSFF (Universal)'!$A$6:$I$65,5,0)</f>
        <v>8385</v>
      </c>
      <c r="D8" s="190">
        <f>VLOOKUP(B4,'EYSFF (Universal)'!$A$6:$I$65,6,0)</f>
        <v>9360</v>
      </c>
      <c r="E8" s="190">
        <f>VLOOKUP(B4,'EYSFF (Universal)'!$A$6:$I$65,7,0)</f>
        <v>7560</v>
      </c>
      <c r="F8" s="191">
        <f>SUM(C8:E8)</f>
        <v>25305</v>
      </c>
      <c r="P8" s="60" t="s">
        <v>51</v>
      </c>
      <c r="Q8" s="60">
        <v>5206</v>
      </c>
    </row>
    <row r="9" spans="1:17" ht="13" x14ac:dyDescent="0.3">
      <c r="B9" s="175" t="s">
        <v>383</v>
      </c>
      <c r="C9" s="161">
        <f>C8/195</f>
        <v>43</v>
      </c>
      <c r="D9" s="166">
        <f>D8/195</f>
        <v>48</v>
      </c>
      <c r="E9" s="166">
        <f>E8/180</f>
        <v>42</v>
      </c>
      <c r="F9" s="174"/>
      <c r="P9" s="60" t="s">
        <v>53</v>
      </c>
      <c r="Q9" s="60">
        <v>2084</v>
      </c>
    </row>
    <row r="10" spans="1:17" ht="13" x14ac:dyDescent="0.3">
      <c r="B10" s="175" t="s">
        <v>311</v>
      </c>
      <c r="C10" s="162">
        <f>VLOOKUP(B4,'EYSFF (Universal)'!$A$10:$AB$66,28,0)</f>
        <v>6.8636500000000007</v>
      </c>
      <c r="D10" s="162">
        <f>C10</f>
        <v>6.8636500000000007</v>
      </c>
      <c r="E10" s="162">
        <f>C10</f>
        <v>6.8636500000000007</v>
      </c>
      <c r="F10" s="174"/>
      <c r="P10" s="60" t="s">
        <v>55</v>
      </c>
      <c r="Q10" s="60">
        <v>2010</v>
      </c>
    </row>
    <row r="11" spans="1:17" ht="13" x14ac:dyDescent="0.3">
      <c r="B11" s="175"/>
      <c r="C11" s="160"/>
      <c r="D11" s="159"/>
      <c r="E11" s="159"/>
      <c r="F11" s="174"/>
      <c r="P11" s="60" t="s">
        <v>57</v>
      </c>
      <c r="Q11" s="60">
        <v>2012</v>
      </c>
    </row>
    <row r="12" spans="1:17" ht="13" x14ac:dyDescent="0.3">
      <c r="B12" s="175" t="s">
        <v>384</v>
      </c>
      <c r="C12" s="185">
        <f>C8*C10</f>
        <v>57551.705250000006</v>
      </c>
      <c r="D12" s="183">
        <f t="shared" ref="D12:E12" si="0">D8*D10</f>
        <v>64243.76400000001</v>
      </c>
      <c r="E12" s="183">
        <f t="shared" si="0"/>
        <v>51889.194000000003</v>
      </c>
      <c r="F12" s="184">
        <f>SUM(C12:E12)</f>
        <v>173684.66325000004</v>
      </c>
      <c r="P12" s="60" t="s">
        <v>61</v>
      </c>
      <c r="Q12" s="60">
        <v>3410</v>
      </c>
    </row>
    <row r="13" spans="1:17" ht="13.5" thickBot="1" x14ac:dyDescent="0.35">
      <c r="B13" s="175"/>
      <c r="C13" s="167"/>
      <c r="D13" s="170"/>
      <c r="E13" s="170"/>
      <c r="F13" s="174"/>
      <c r="P13" s="60" t="s">
        <v>63</v>
      </c>
      <c r="Q13" s="60">
        <v>2078</v>
      </c>
    </row>
    <row r="14" spans="1:17" ht="13.5" thickBot="1" x14ac:dyDescent="0.35">
      <c r="B14" s="177" t="s">
        <v>385</v>
      </c>
      <c r="C14" s="169"/>
      <c r="D14" s="171"/>
      <c r="E14" s="171"/>
      <c r="F14" s="178"/>
      <c r="P14" s="60" t="s">
        <v>69</v>
      </c>
      <c r="Q14" s="60">
        <v>3307</v>
      </c>
    </row>
    <row r="15" spans="1:17" ht="13" x14ac:dyDescent="0.3">
      <c r="B15" s="175" t="s">
        <v>386</v>
      </c>
      <c r="C15" s="168">
        <f>C14*15*13</f>
        <v>0</v>
      </c>
      <c r="D15" s="168">
        <f t="shared" ref="D15" si="1">D14*15*13</f>
        <v>0</v>
      </c>
      <c r="E15" s="168">
        <f>E14*15*12</f>
        <v>0</v>
      </c>
      <c r="F15" s="176">
        <f>SUM(C15:E15)</f>
        <v>0</v>
      </c>
      <c r="P15" s="34" t="s">
        <v>71</v>
      </c>
      <c r="Q15" s="60">
        <v>2019</v>
      </c>
    </row>
    <row r="16" spans="1:17" ht="13" x14ac:dyDescent="0.3">
      <c r="B16" s="175" t="s">
        <v>311</v>
      </c>
      <c r="C16" s="162">
        <f>C10</f>
        <v>6.8636500000000007</v>
      </c>
      <c r="D16" s="163">
        <f>C10</f>
        <v>6.8636500000000007</v>
      </c>
      <c r="E16" s="163">
        <f>C10</f>
        <v>6.8636500000000007</v>
      </c>
      <c r="F16" s="174"/>
      <c r="P16" s="60" t="s">
        <v>73</v>
      </c>
      <c r="Q16" s="60">
        <v>2018</v>
      </c>
    </row>
    <row r="17" spans="2:17" ht="13" x14ac:dyDescent="0.3">
      <c r="B17" s="175"/>
      <c r="C17" s="160"/>
      <c r="D17" s="159"/>
      <c r="E17" s="159"/>
      <c r="F17" s="174"/>
      <c r="P17" s="60" t="s">
        <v>75</v>
      </c>
      <c r="Q17" s="60">
        <v>2076</v>
      </c>
    </row>
    <row r="18" spans="2:17" ht="13" x14ac:dyDescent="0.3">
      <c r="B18" s="175" t="s">
        <v>387</v>
      </c>
      <c r="C18" s="185">
        <f>C15*C16</f>
        <v>0</v>
      </c>
      <c r="D18" s="185">
        <f t="shared" ref="D18:E18" si="2">D15*D16</f>
        <v>0</v>
      </c>
      <c r="E18" s="185">
        <f t="shared" si="2"/>
        <v>0</v>
      </c>
      <c r="F18" s="184">
        <f>SUM(C18:E18)</f>
        <v>0</v>
      </c>
      <c r="P18" s="60" t="s">
        <v>77</v>
      </c>
      <c r="Q18" s="60">
        <v>2020</v>
      </c>
    </row>
    <row r="19" spans="2:17" ht="13" x14ac:dyDescent="0.3">
      <c r="B19" s="175"/>
      <c r="C19" s="164"/>
      <c r="D19" s="164"/>
      <c r="E19" s="164"/>
      <c r="F19" s="179"/>
      <c r="P19" s="34" t="s">
        <v>79</v>
      </c>
      <c r="Q19" s="60">
        <v>5203</v>
      </c>
    </row>
    <row r="20" spans="2:17" ht="13.5" thickBot="1" x14ac:dyDescent="0.35">
      <c r="B20" s="180" t="s">
        <v>388</v>
      </c>
      <c r="C20" s="192">
        <f>C18-C12</f>
        <v>-57551.705250000006</v>
      </c>
      <c r="D20" s="181">
        <f>D18-D12</f>
        <v>-64243.76400000001</v>
      </c>
      <c r="E20" s="181">
        <f>E18-E12</f>
        <v>-51889.194000000003</v>
      </c>
      <c r="F20" s="182">
        <f>F18-F12</f>
        <v>-173684.66325000004</v>
      </c>
      <c r="P20" s="60" t="s">
        <v>85</v>
      </c>
      <c r="Q20" s="60">
        <v>2024</v>
      </c>
    </row>
    <row r="21" spans="2:17" ht="13" x14ac:dyDescent="0.3">
      <c r="C21" s="158"/>
      <c r="P21" s="60" t="s">
        <v>91</v>
      </c>
      <c r="Q21" s="60">
        <v>2025</v>
      </c>
    </row>
    <row r="22" spans="2:17" x14ac:dyDescent="0.25">
      <c r="P22" s="60" t="s">
        <v>93</v>
      </c>
      <c r="Q22" s="60">
        <v>2026</v>
      </c>
    </row>
    <row r="23" spans="2:17" ht="13" thickBot="1" x14ac:dyDescent="0.3">
      <c r="P23" s="60" t="s">
        <v>96</v>
      </c>
      <c r="Q23" s="60">
        <v>5211</v>
      </c>
    </row>
    <row r="24" spans="2:17" ht="13" x14ac:dyDescent="0.3">
      <c r="B24" s="172" t="s">
        <v>389</v>
      </c>
      <c r="C24" s="599" t="s">
        <v>378</v>
      </c>
      <c r="D24" s="599"/>
      <c r="E24" s="599"/>
      <c r="F24" s="173"/>
      <c r="P24" s="60" t="s">
        <v>100</v>
      </c>
      <c r="Q24" s="60">
        <v>2029</v>
      </c>
    </row>
    <row r="25" spans="2:17" ht="13.5" thickBot="1" x14ac:dyDescent="0.35">
      <c r="B25" s="186"/>
      <c r="C25" s="187" t="s">
        <v>379</v>
      </c>
      <c r="D25" s="188" t="s">
        <v>380</v>
      </c>
      <c r="E25" s="188" t="s">
        <v>381</v>
      </c>
      <c r="F25" s="189" t="s">
        <v>112</v>
      </c>
      <c r="P25" s="60" t="s">
        <v>102</v>
      </c>
      <c r="Q25" s="60">
        <v>2061</v>
      </c>
    </row>
    <row r="26" spans="2:17" ht="13" x14ac:dyDescent="0.3">
      <c r="B26" s="172" t="s">
        <v>382</v>
      </c>
      <c r="C26" s="190" t="e">
        <f>VLOOKUP(B4,'EYSFF (Additional)'!$A$11:$F$56,4,0)</f>
        <v>#N/A</v>
      </c>
      <c r="D26" s="190" t="e">
        <f>VLOOKUP(B4,'EYSFF (Additional)'!$A$11:$F$56,5,0)</f>
        <v>#N/A</v>
      </c>
      <c r="E26" s="190" t="e">
        <f>VLOOKUP(B4,'EYSFF (Additional)'!$A$11:$F$56,6,0)</f>
        <v>#N/A</v>
      </c>
      <c r="F26" s="191" t="e">
        <f>SUM(C26:E26)</f>
        <v>#N/A</v>
      </c>
      <c r="H26" s="60" t="e">
        <f>MATCH(B4,'EYSFF (Additional)'!A:A,0)</f>
        <v>#N/A</v>
      </c>
      <c r="P26" s="60" t="s">
        <v>106</v>
      </c>
      <c r="Q26" s="60">
        <v>2021</v>
      </c>
    </row>
    <row r="27" spans="2:17" ht="13" x14ac:dyDescent="0.3">
      <c r="B27" s="175" t="s">
        <v>383</v>
      </c>
      <c r="C27" s="161" t="e">
        <f>C26/195</f>
        <v>#N/A</v>
      </c>
      <c r="D27" s="166" t="e">
        <f>D26/195</f>
        <v>#N/A</v>
      </c>
      <c r="E27" s="166" t="e">
        <f>E26/180</f>
        <v>#N/A</v>
      </c>
      <c r="F27" s="174"/>
      <c r="P27" s="60" t="s">
        <v>108</v>
      </c>
      <c r="Q27" s="60">
        <v>2063</v>
      </c>
    </row>
    <row r="28" spans="2:17" ht="13" x14ac:dyDescent="0.3">
      <c r="B28" s="175" t="s">
        <v>311</v>
      </c>
      <c r="C28" s="162" t="e">
        <f>VLOOKUP(B4,'EYSFF (Additional)'!$A$11:$AA$57,27,0)</f>
        <v>#N/A</v>
      </c>
      <c r="D28" s="162" t="e">
        <f>C28</f>
        <v>#N/A</v>
      </c>
      <c r="E28" s="162" t="e">
        <f>C28</f>
        <v>#N/A</v>
      </c>
      <c r="F28" s="174"/>
      <c r="P28" s="60" t="s">
        <v>110</v>
      </c>
      <c r="Q28" s="60">
        <v>2081</v>
      </c>
    </row>
    <row r="29" spans="2:17" ht="13" x14ac:dyDescent="0.3">
      <c r="B29" s="175"/>
      <c r="C29" s="160"/>
      <c r="D29" s="159"/>
      <c r="E29" s="159"/>
      <c r="F29" s="174"/>
      <c r="P29" s="60" t="s">
        <v>111</v>
      </c>
      <c r="Q29" s="60">
        <v>5204</v>
      </c>
    </row>
    <row r="30" spans="2:17" ht="13" x14ac:dyDescent="0.3">
      <c r="B30" s="175" t="s">
        <v>384</v>
      </c>
      <c r="C30" s="185" t="e">
        <f>C26*C28</f>
        <v>#N/A</v>
      </c>
      <c r="D30" s="183" t="e">
        <f t="shared" ref="D30:E30" si="3">D26*D28</f>
        <v>#N/A</v>
      </c>
      <c r="E30" s="183" t="e">
        <f t="shared" si="3"/>
        <v>#N/A</v>
      </c>
      <c r="F30" s="184" t="e">
        <f>SUM(C30:E30)</f>
        <v>#N/A</v>
      </c>
      <c r="P30" s="60" t="s">
        <v>114</v>
      </c>
      <c r="Q30" s="60">
        <v>3302</v>
      </c>
    </row>
    <row r="31" spans="2:17" ht="13.5" thickBot="1" x14ac:dyDescent="0.35">
      <c r="B31" s="175"/>
      <c r="C31" s="167"/>
      <c r="D31" s="170"/>
      <c r="E31" s="170"/>
      <c r="F31" s="174"/>
      <c r="P31" s="60" t="s">
        <v>116</v>
      </c>
      <c r="Q31" s="60">
        <v>2027</v>
      </c>
    </row>
    <row r="32" spans="2:17" ht="13.5" thickBot="1" x14ac:dyDescent="0.35">
      <c r="B32" s="177" t="s">
        <v>385</v>
      </c>
      <c r="C32" s="169"/>
      <c r="D32" s="171"/>
      <c r="E32" s="171"/>
      <c r="F32" s="178"/>
      <c r="P32" s="60" t="s">
        <v>390</v>
      </c>
      <c r="Q32" s="60">
        <v>2033</v>
      </c>
    </row>
    <row r="33" spans="2:17" ht="13" x14ac:dyDescent="0.3">
      <c r="B33" s="175" t="s">
        <v>386</v>
      </c>
      <c r="C33" s="168">
        <f>C32*15*13</f>
        <v>0</v>
      </c>
      <c r="D33" s="168">
        <f t="shared" ref="D33" si="4">D32*15*13</f>
        <v>0</v>
      </c>
      <c r="E33" s="168">
        <f>E32*15*12</f>
        <v>0</v>
      </c>
      <c r="F33" s="176">
        <f>SUM(C33:E33)</f>
        <v>0</v>
      </c>
      <c r="P33" s="60" t="s">
        <v>120</v>
      </c>
      <c r="Q33" s="60">
        <v>2028</v>
      </c>
    </row>
    <row r="34" spans="2:17" ht="13" x14ac:dyDescent="0.3">
      <c r="B34" s="175" t="s">
        <v>311</v>
      </c>
      <c r="C34" s="162" t="e">
        <f>C28</f>
        <v>#N/A</v>
      </c>
      <c r="D34" s="163" t="e">
        <f>C28</f>
        <v>#N/A</v>
      </c>
      <c r="E34" s="163" t="e">
        <f>C28</f>
        <v>#N/A</v>
      </c>
      <c r="F34" s="174"/>
      <c r="P34" s="60" t="s">
        <v>122</v>
      </c>
      <c r="Q34" s="60">
        <v>2017</v>
      </c>
    </row>
    <row r="35" spans="2:17" ht="13" x14ac:dyDescent="0.3">
      <c r="B35" s="175"/>
      <c r="C35" s="160"/>
      <c r="D35" s="159"/>
      <c r="E35" s="159"/>
      <c r="F35" s="174"/>
      <c r="P35" s="60" t="s">
        <v>391</v>
      </c>
      <c r="Q35" s="60">
        <v>1000</v>
      </c>
    </row>
    <row r="36" spans="2:17" ht="13" x14ac:dyDescent="0.3">
      <c r="B36" s="175" t="s">
        <v>387</v>
      </c>
      <c r="C36" s="185" t="e">
        <f>C33*C34</f>
        <v>#N/A</v>
      </c>
      <c r="D36" s="185" t="e">
        <f t="shared" ref="D36:E36" si="5">D33*D34</f>
        <v>#N/A</v>
      </c>
      <c r="E36" s="185" t="e">
        <f t="shared" si="5"/>
        <v>#N/A</v>
      </c>
      <c r="F36" s="184" t="e">
        <f>SUM(C36:E36)</f>
        <v>#N/A</v>
      </c>
      <c r="P36" s="60" t="s">
        <v>124</v>
      </c>
      <c r="Q36" s="60">
        <v>2037</v>
      </c>
    </row>
    <row r="37" spans="2:17" ht="13" x14ac:dyDescent="0.3">
      <c r="B37" s="175"/>
      <c r="C37" s="164"/>
      <c r="D37" s="164"/>
      <c r="E37" s="164"/>
      <c r="F37" s="179"/>
      <c r="P37" s="60" t="s">
        <v>129</v>
      </c>
      <c r="Q37" s="60">
        <v>2039</v>
      </c>
    </row>
    <row r="38" spans="2:17" ht="13.5" thickBot="1" x14ac:dyDescent="0.35">
      <c r="B38" s="180" t="s">
        <v>388</v>
      </c>
      <c r="C38" s="192" t="e">
        <f>C36-C30</f>
        <v>#N/A</v>
      </c>
      <c r="D38" s="181" t="e">
        <f>D36-D30</f>
        <v>#N/A</v>
      </c>
      <c r="E38" s="181" t="e">
        <f>E36-E30</f>
        <v>#N/A</v>
      </c>
      <c r="F38" s="182" t="e">
        <f>F36-F30</f>
        <v>#N/A</v>
      </c>
      <c r="P38" s="60" t="s">
        <v>392</v>
      </c>
      <c r="Q38" s="60">
        <v>5200</v>
      </c>
    </row>
    <row r="39" spans="2:17" x14ac:dyDescent="0.25">
      <c r="P39" s="60" t="s">
        <v>141</v>
      </c>
      <c r="Q39" s="60">
        <v>2040</v>
      </c>
    </row>
    <row r="40" spans="2:17" x14ac:dyDescent="0.25">
      <c r="P40" s="60" t="s">
        <v>144</v>
      </c>
      <c r="Q40" s="60">
        <v>2064</v>
      </c>
    </row>
    <row r="41" spans="2:17" ht="13" x14ac:dyDescent="0.3">
      <c r="B41" s="58" t="s">
        <v>393</v>
      </c>
      <c r="P41" s="60" t="s">
        <v>148</v>
      </c>
      <c r="Q41" s="60">
        <v>2045</v>
      </c>
    </row>
    <row r="42" spans="2:17" x14ac:dyDescent="0.25">
      <c r="P42" s="60" t="s">
        <v>150</v>
      </c>
      <c r="Q42" s="60">
        <v>2080</v>
      </c>
    </row>
    <row r="43" spans="2:17" x14ac:dyDescent="0.25">
      <c r="B43" s="60" t="s">
        <v>394</v>
      </c>
      <c r="P43" s="60" t="s">
        <v>154</v>
      </c>
      <c r="Q43" s="60">
        <v>2048</v>
      </c>
    </row>
    <row r="44" spans="2:17" x14ac:dyDescent="0.25">
      <c r="B44" s="60" t="s">
        <v>395</v>
      </c>
      <c r="P44" s="60" t="s">
        <v>155</v>
      </c>
      <c r="Q44" s="60">
        <v>3405</v>
      </c>
    </row>
    <row r="45" spans="2:17" x14ac:dyDescent="0.25">
      <c r="B45" s="60" t="s">
        <v>396</v>
      </c>
      <c r="P45" s="60" t="s">
        <v>156</v>
      </c>
      <c r="Q45" s="60">
        <v>5208</v>
      </c>
    </row>
    <row r="46" spans="2:17" x14ac:dyDescent="0.25">
      <c r="B46" s="60" t="s">
        <v>397</v>
      </c>
      <c r="P46" s="60" t="s">
        <v>157</v>
      </c>
      <c r="Q46" s="60">
        <v>3402</v>
      </c>
    </row>
    <row r="47" spans="2:17" x14ac:dyDescent="0.25">
      <c r="B47" s="60" t="s">
        <v>398</v>
      </c>
      <c r="P47" s="60" t="s">
        <v>159</v>
      </c>
      <c r="Q47" s="60">
        <v>2035</v>
      </c>
    </row>
    <row r="48" spans="2:17" x14ac:dyDescent="0.25">
      <c r="P48" s="60" t="s">
        <v>161</v>
      </c>
      <c r="Q48" s="60">
        <v>3404</v>
      </c>
    </row>
    <row r="49" spans="16:17" x14ac:dyDescent="0.25">
      <c r="P49" s="60" t="s">
        <v>163</v>
      </c>
      <c r="Q49" s="60">
        <v>3306</v>
      </c>
    </row>
    <row r="50" spans="16:17" x14ac:dyDescent="0.25">
      <c r="P50" s="60" t="s">
        <v>165</v>
      </c>
      <c r="Q50" s="60">
        <v>3400</v>
      </c>
    </row>
    <row r="51" spans="16:17" x14ac:dyDescent="0.25">
      <c r="P51" s="60" t="s">
        <v>167</v>
      </c>
      <c r="Q51" s="60">
        <v>3403</v>
      </c>
    </row>
    <row r="52" spans="16:17" x14ac:dyDescent="0.25">
      <c r="P52" s="60" t="s">
        <v>171</v>
      </c>
      <c r="Q52" s="60">
        <v>2004</v>
      </c>
    </row>
    <row r="53" spans="16:17" x14ac:dyDescent="0.25">
      <c r="P53" s="60" t="s">
        <v>179</v>
      </c>
      <c r="Q53" s="60">
        <v>2065</v>
      </c>
    </row>
    <row r="54" spans="16:17" x14ac:dyDescent="0.25">
      <c r="P54" s="60" t="s">
        <v>180</v>
      </c>
      <c r="Q54" s="60">
        <v>2051</v>
      </c>
    </row>
    <row r="55" spans="16:17" x14ac:dyDescent="0.25">
      <c r="P55" s="60" t="s">
        <v>181</v>
      </c>
      <c r="Q55" s="60">
        <v>2069</v>
      </c>
    </row>
    <row r="56" spans="16:17" x14ac:dyDescent="0.25">
      <c r="P56" s="60" t="s">
        <v>183</v>
      </c>
      <c r="Q56" s="60">
        <v>2074</v>
      </c>
    </row>
    <row r="57" spans="16:17" x14ac:dyDescent="0.25">
      <c r="P57" s="60" t="s">
        <v>185</v>
      </c>
      <c r="Q57" s="60">
        <v>2049</v>
      </c>
    </row>
    <row r="58" spans="16:17" x14ac:dyDescent="0.25">
      <c r="P58" s="60" t="s">
        <v>186</v>
      </c>
      <c r="Q58" s="60">
        <v>2082</v>
      </c>
    </row>
    <row r="59" spans="16:17" x14ac:dyDescent="0.25">
      <c r="P59" s="60" t="s">
        <v>187</v>
      </c>
      <c r="Q59" s="60">
        <v>2060</v>
      </c>
    </row>
  </sheetData>
  <mergeCells count="2">
    <mergeCell ref="C6:E6"/>
    <mergeCell ref="C24:E24"/>
  </mergeCells>
  <conditionalFormatting sqref="Q36">
    <cfRule type="duplicateValues" dxfId="1" priority="1"/>
  </conditionalFormatting>
  <conditionalFormatting sqref="Q37:Q59 Q3:Q35">
    <cfRule type="duplicateValues" dxfId="0" priority="21"/>
  </conditionalFormatting>
  <dataValidations count="1">
    <dataValidation type="list" allowBlank="1" showInputMessage="1" showErrorMessage="1" promptTitle="Please select school" sqref="B3" xr:uid="{00000000-0002-0000-0600-000000000000}">
      <formula1>$P$3:$P$59</formula1>
    </dataValidation>
  </dataValidation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C16"/>
  <sheetViews>
    <sheetView workbookViewId="0">
      <selection activeCell="C11" sqref="C11"/>
    </sheetView>
  </sheetViews>
  <sheetFormatPr defaultRowHeight="12.5" x14ac:dyDescent="0.25"/>
  <sheetData>
    <row r="1" spans="2:3" x14ac:dyDescent="0.25">
      <c r="C1" t="s">
        <v>399</v>
      </c>
    </row>
    <row r="2" spans="2:3" x14ac:dyDescent="0.25">
      <c r="B2" s="90">
        <v>1</v>
      </c>
      <c r="C2" t="s">
        <v>400</v>
      </c>
    </row>
    <row r="3" spans="2:3" x14ac:dyDescent="0.25">
      <c r="B3" s="90">
        <v>2</v>
      </c>
      <c r="C3" t="s">
        <v>401</v>
      </c>
    </row>
    <row r="4" spans="2:3" x14ac:dyDescent="0.25">
      <c r="B4" s="90">
        <v>3</v>
      </c>
      <c r="C4" t="s">
        <v>402</v>
      </c>
    </row>
    <row r="5" spans="2:3" x14ac:dyDescent="0.25">
      <c r="B5" s="90">
        <v>4</v>
      </c>
      <c r="C5" t="s">
        <v>403</v>
      </c>
    </row>
    <row r="6" spans="2:3" x14ac:dyDescent="0.25">
      <c r="B6" s="90">
        <v>5</v>
      </c>
      <c r="C6" t="s">
        <v>404</v>
      </c>
    </row>
    <row r="7" spans="2:3" x14ac:dyDescent="0.25">
      <c r="B7" s="90">
        <v>6</v>
      </c>
      <c r="C7" t="s">
        <v>405</v>
      </c>
    </row>
    <row r="8" spans="2:3" x14ac:dyDescent="0.25">
      <c r="B8" s="90">
        <v>7</v>
      </c>
      <c r="C8" t="s">
        <v>406</v>
      </c>
    </row>
    <row r="9" spans="2:3" x14ac:dyDescent="0.25">
      <c r="B9" s="90">
        <v>8</v>
      </c>
      <c r="C9" t="s">
        <v>407</v>
      </c>
    </row>
    <row r="10" spans="2:3" x14ac:dyDescent="0.25">
      <c r="B10" s="90">
        <v>9</v>
      </c>
      <c r="C10" t="s">
        <v>408</v>
      </c>
    </row>
    <row r="11" spans="2:3" x14ac:dyDescent="0.25">
      <c r="B11" s="90">
        <v>10</v>
      </c>
    </row>
    <row r="12" spans="2:3" x14ac:dyDescent="0.25">
      <c r="B12" s="90">
        <v>11</v>
      </c>
    </row>
    <row r="13" spans="2:3" x14ac:dyDescent="0.25">
      <c r="B13" s="90">
        <v>12</v>
      </c>
    </row>
    <row r="14" spans="2:3" x14ac:dyDescent="0.25">
      <c r="B14" s="90">
        <v>13</v>
      </c>
    </row>
    <row r="15" spans="2:3" x14ac:dyDescent="0.25">
      <c r="B15" s="90">
        <v>14</v>
      </c>
    </row>
    <row r="16" spans="2:3" x14ac:dyDescent="0.25">
      <c r="B16" s="90">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62316f4-5d4e-44a8-a5ef-32b9ccfcf81e">
      <UserInfo>
        <DisplayName>Asif Huq</DisplayName>
        <AccountId>4300</AccountId>
        <AccountType/>
      </UserInfo>
      <UserInfo>
        <DisplayName>Sailesh Patel</DisplayName>
        <AccountId>4424</AccountId>
        <AccountType/>
      </UserInfo>
      <UserInfo>
        <DisplayName>Andy Moore</DisplayName>
        <AccountId>4392</AccountId>
        <AccountType/>
      </UserInfo>
      <UserInfo>
        <DisplayName>Kate Appleyard</DisplayName>
        <AccountId>4362</AccountId>
        <AccountType/>
      </UserInfo>
      <UserInfo>
        <DisplayName>Steve Denbeigh</DisplayName>
        <AccountId>4398</AccountId>
        <AccountType/>
      </UserInfo>
      <UserInfo>
        <DisplayName>Greg Watson (Schools Finance)</DisplayName>
        <AccountId>13</AccountId>
        <AccountType/>
      </UserInfo>
      <UserInfo>
        <DisplayName>Davinder Devgon</DisplayName>
        <AccountId>27</AccountId>
        <AccountType/>
      </UserInfo>
      <UserInfo>
        <DisplayName>Danny Doherty</DisplayName>
        <AccountId>4570</AccountId>
        <AccountType/>
      </UserInfo>
    </SharedWithUsers>
    <lcf76f155ced4ddcb4097134ff3c332f xmlns="bbfdf82c-52d2-4d4d-96ea-a7a5fb009161">
      <Terms xmlns="http://schemas.microsoft.com/office/infopath/2007/PartnerControls"/>
    </lcf76f155ced4ddcb4097134ff3c332f>
    <TaxCatchAll xmlns="962316f4-5d4e-44a8-a5ef-32b9ccfcf81e" xsi:nil="true"/>
    <Order0 xmlns="bbfdf82c-52d2-4d4d-96ea-a7a5fb0091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917BF2E65A01458C8572B710C39C45" ma:contentTypeVersion="19" ma:contentTypeDescription="Create a new document." ma:contentTypeScope="" ma:versionID="3b0db50d01dc209ce58ea8cf55eaf2de">
  <xsd:schema xmlns:xsd="http://www.w3.org/2001/XMLSchema" xmlns:xs="http://www.w3.org/2001/XMLSchema" xmlns:p="http://schemas.microsoft.com/office/2006/metadata/properties" xmlns:ns2="962316f4-5d4e-44a8-a5ef-32b9ccfcf81e" xmlns:ns3="bbfdf82c-52d2-4d4d-96ea-a7a5fb009161" targetNamespace="http://schemas.microsoft.com/office/2006/metadata/properties" ma:root="true" ma:fieldsID="8ca934a499e0e41166d0ab8b8de97da5" ns2:_="" ns3:_="">
    <xsd:import namespace="962316f4-5d4e-44a8-a5ef-32b9ccfcf81e"/>
    <xsd:import namespace="bbfdf82c-52d2-4d4d-96ea-a7a5fb00916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Order0"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316f4-5d4e-44a8-a5ef-32b9ccfcf81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359590d-4980-4a2f-aed4-1319437f1000}" ma:internalName="TaxCatchAll" ma:showField="CatchAllData" ma:web="962316f4-5d4e-44a8-a5ef-32b9ccfcf8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fdf82c-52d2-4d4d-96ea-a7a5fb00916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5d32d0-dd38-4d2f-b4b0-3860cb1feb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Order0" ma:index="24" nillable="true" ma:displayName="Order" ma:format="Dropdown" ma:internalName="Order0" ma:percentage="FALSE">
      <xsd:simpleType>
        <xsd:restriction base="dms:Number"/>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1796C7-7BF2-4A56-AC98-6BC27CBA481F}">
  <ds:schemaRefs>
    <ds:schemaRef ds:uri="http://schemas.microsoft.com/office/2006/metadata/properties"/>
    <ds:schemaRef ds:uri="http://schemas.microsoft.com/office/infopath/2007/PartnerControls"/>
    <ds:schemaRef ds:uri="962316f4-5d4e-44a8-a5ef-32b9ccfcf81e"/>
    <ds:schemaRef ds:uri="bbfdf82c-52d2-4d4d-96ea-a7a5fb009161"/>
  </ds:schemaRefs>
</ds:datastoreItem>
</file>

<file path=customXml/itemProps2.xml><?xml version="1.0" encoding="utf-8"?>
<ds:datastoreItem xmlns:ds="http://schemas.openxmlformats.org/officeDocument/2006/customXml" ds:itemID="{E1202456-74F3-4089-846C-CE1F3CE02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316f4-5d4e-44a8-a5ef-32b9ccfcf81e"/>
    <ds:schemaRef ds:uri="bbfdf82c-52d2-4d4d-96ea-a7a5fb009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57772B-F626-4FED-8FC1-CFAF1F1DEC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Notes</vt:lpstr>
      <vt:lpstr>Indv Schools</vt:lpstr>
      <vt:lpstr>All Schools</vt:lpstr>
      <vt:lpstr>McMillan </vt:lpstr>
      <vt:lpstr>EYSFF (Universal)</vt:lpstr>
      <vt:lpstr>EYSFF (Additional)</vt:lpstr>
      <vt:lpstr>EYSFF Calculator</vt:lpstr>
      <vt:lpstr>Sheet1</vt:lpstr>
      <vt:lpstr>IDACI_B1_Pri</vt:lpstr>
      <vt:lpstr>IDACI_B2_Pri</vt:lpstr>
      <vt:lpstr>IDACI_B3_Pri</vt:lpstr>
      <vt:lpstr>IDACI_B4_Pri</vt:lpstr>
      <vt:lpstr>IDACI_B5_Pri</vt:lpstr>
      <vt:lpstr>'All Schools'!Print_Area</vt:lpstr>
      <vt:lpstr>'Indv Schools'!Print_Area</vt:lpstr>
      <vt:lpstr>Notes!Print_Area</vt:lpstr>
      <vt:lpstr>'All Schools'!Print_Titles</vt:lpstr>
    </vt:vector>
  </TitlesOfParts>
  <Manager/>
  <Company>London Borough of Hillingdon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SPatel5@hillingdon.gov.uk</dc:creator>
  <cp:keywords/>
  <dc:description/>
  <cp:lastModifiedBy>Steve Denbeigh</cp:lastModifiedBy>
  <cp:revision/>
  <dcterms:created xsi:type="dcterms:W3CDTF">2013-01-31T15:35:29Z</dcterms:created>
  <dcterms:modified xsi:type="dcterms:W3CDTF">2025-07-07T10:54:00Z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0x010100CA917BF2E65A01458C8572B710C39C45</vt:lpwstr>
  </property>
  <property fmtid="{D5CDD505-2E9C-101B-9397-08002B2CF9AE}" pid="3" name="Order">
    <vt:r8>100</vt:r8>
  </property>
  <property fmtid="{D5CDD505-2E9C-101B-9397-08002B2CF9AE}" pid="4" name="MSIP_Label_7a8edf35-91ea-44e1-afab-38c462b39a0c_Enabled">
    <vt:lpwstr>true</vt:lpwstr>
  </property>
  <property fmtid="{D5CDD505-2E9C-101B-9397-08002B2CF9AE}" pid="5" name="MSIP_Label_7a8edf35-91ea-44e1-afab-38c462b39a0c_SetDate">
    <vt:lpwstr>2021-06-02T13:37:22Z</vt:lpwstr>
  </property>
  <property fmtid="{D5CDD505-2E9C-101B-9397-08002B2CF9AE}" pid="6" name="MSIP_Label_7a8edf35-91ea-44e1-afab-38c462b39a0c_Method">
    <vt:lpwstr>Standard</vt:lpwstr>
  </property>
  <property fmtid="{D5CDD505-2E9C-101B-9397-08002B2CF9AE}" pid="7" name="MSIP_Label_7a8edf35-91ea-44e1-afab-38c462b39a0c_Name">
    <vt:lpwstr>Official</vt:lpwstr>
  </property>
  <property fmtid="{D5CDD505-2E9C-101B-9397-08002B2CF9AE}" pid="8" name="MSIP_Label_7a8edf35-91ea-44e1-afab-38c462b39a0c_SiteId">
    <vt:lpwstr>aaacb679-c381-48fb-b320-f9d581ee948f</vt:lpwstr>
  </property>
  <property fmtid="{D5CDD505-2E9C-101B-9397-08002B2CF9AE}" pid="9" name="MSIP_Label_7a8edf35-91ea-44e1-afab-38c462b39a0c_ActionId">
    <vt:lpwstr>59ae3936-efa5-497b-ad73-cc9077da65fc</vt:lpwstr>
  </property>
  <property fmtid="{D5CDD505-2E9C-101B-9397-08002B2CF9AE}" pid="10" name="MSIP_Label_7a8edf35-91ea-44e1-afab-38c462b39a0c_ContentBits">
    <vt:lpwstr>0</vt:lpwstr>
  </property>
  <property fmtid="{D5CDD505-2E9C-101B-9397-08002B2CF9AE}" pid="11" name="MediaServiceImageTags">
    <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